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pea-my.sharepoint.com/personal/jkenney_lpea_coop/Documents/Desktop/LPEA Info/"/>
    </mc:Choice>
  </mc:AlternateContent>
  <xr:revisionPtr revIDLastSave="0" documentId="8_{04F87037-107C-4C18-9CF3-356D3A47E460}" xr6:coauthVersionLast="47" xr6:coauthVersionMax="47" xr10:uidLastSave="{00000000-0000-0000-0000-000000000000}"/>
  <bookViews>
    <workbookView xWindow="-28920" yWindow="-120" windowWidth="29040" windowHeight="15720" firstSheet="3" xr2:uid="{00000000-000D-0000-FFFF-FFFF00000000}"/>
  </bookViews>
  <sheets>
    <sheet name="Application Information" sheetId="7" r:id="rId1"/>
    <sheet name="Submission Form" sheetId="20" r:id="rId2"/>
    <sheet name="Payback Calculator" sheetId="23" r:id="rId3"/>
    <sheet name="Measure Assumptions" sheetId="14" r:id="rId4"/>
    <sheet name="Sheet1" sheetId="24" state="hidden" r:id="rId5"/>
  </sheets>
  <definedNames>
    <definedName name="_xlnm.Print_Area" localSheetId="0">'Application Information'!$B$2:$C$31</definedName>
    <definedName name="_xlnm.Print_Area" localSheetId="3">'Measure Assumptions'!$D$2:$U$37</definedName>
    <definedName name="_xlnm.Print_Area" localSheetId="2">'Payback Calculator'!$B$2:$Q$66</definedName>
    <definedName name="_xlnm.Print_Area" localSheetId="1">'Submission Form'!$B$2:$M$101</definedName>
    <definedName name="_xlnm.Print_Titles" localSheetId="0">'Application Information'!$2:$5</definedName>
    <definedName name="_xlnm.Print_Titles" localSheetId="3">'Measure Assumptions'!$D:$D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20" l="1"/>
  <c r="K72" i="20"/>
  <c r="G34" i="23"/>
  <c r="D94" i="20"/>
  <c r="D93" i="20"/>
  <c r="D92" i="20"/>
  <c r="D91" i="20"/>
  <c r="D90" i="20"/>
  <c r="D89" i="20"/>
  <c r="D78" i="20"/>
  <c r="D77" i="20"/>
  <c r="D29" i="20"/>
  <c r="E31" i="20"/>
  <c r="O38" i="14"/>
  <c r="S38" i="14"/>
  <c r="Q39" i="14"/>
  <c r="O40" i="14"/>
  <c r="S40" i="14"/>
  <c r="O41" i="14"/>
  <c r="Q41" i="14" s="1"/>
  <c r="S41" i="14"/>
  <c r="O42" i="14"/>
  <c r="S42" i="14"/>
  <c r="O43" i="14"/>
  <c r="Q43" i="14"/>
  <c r="S43" i="14"/>
  <c r="O44" i="14"/>
  <c r="S44" i="14"/>
  <c r="O45" i="14"/>
  <c r="Q45" i="14" s="1"/>
  <c r="S45" i="14"/>
  <c r="O46" i="14"/>
  <c r="Q46" i="14" s="1"/>
  <c r="S46" i="14"/>
  <c r="O47" i="14"/>
  <c r="Q47" i="14" s="1"/>
  <c r="S47" i="14"/>
  <c r="Q40" i="14" l="1"/>
  <c r="T43" i="14"/>
  <c r="U43" i="14"/>
  <c r="Q38" i="14"/>
  <c r="U38" i="14" s="1"/>
  <c r="Q42" i="14"/>
  <c r="U42" i="14" s="1"/>
  <c r="Q44" i="14"/>
  <c r="T46" i="14"/>
  <c r="U46" i="14"/>
  <c r="T41" i="14"/>
  <c r="U41" i="14"/>
  <c r="U47" i="14"/>
  <c r="T47" i="14"/>
  <c r="U44" i="14"/>
  <c r="B2" i="20"/>
  <c r="T40" i="14" l="1"/>
  <c r="T42" i="14"/>
  <c r="T44" i="14"/>
  <c r="U40" i="14"/>
  <c r="T38" i="14"/>
  <c r="G38" i="23" l="1"/>
  <c r="N38" i="23" s="1"/>
  <c r="H38" i="23"/>
  <c r="Q38" i="23" s="1"/>
  <c r="I38" i="23"/>
  <c r="G39" i="23"/>
  <c r="N39" i="23" s="1"/>
  <c r="H39" i="23"/>
  <c r="P39" i="23" s="1"/>
  <c r="I39" i="23"/>
  <c r="G40" i="23"/>
  <c r="N40" i="23" s="1"/>
  <c r="H40" i="23"/>
  <c r="P40" i="23" s="1"/>
  <c r="I40" i="23"/>
  <c r="G41" i="23"/>
  <c r="N41" i="23" s="1"/>
  <c r="H41" i="23"/>
  <c r="P41" i="23" s="1"/>
  <c r="I41" i="23"/>
  <c r="G42" i="23"/>
  <c r="N42" i="23" s="1"/>
  <c r="H42" i="23"/>
  <c r="P42" i="23" s="1"/>
  <c r="I42" i="23"/>
  <c r="G43" i="23"/>
  <c r="N43" i="23" s="1"/>
  <c r="H43" i="23"/>
  <c r="P43" i="23" s="1"/>
  <c r="I43" i="23"/>
  <c r="G44" i="23"/>
  <c r="N44" i="23" s="1"/>
  <c r="H44" i="23"/>
  <c r="P44" i="23" s="1"/>
  <c r="I44" i="23"/>
  <c r="G45" i="23"/>
  <c r="N45" i="23" s="1"/>
  <c r="H45" i="23"/>
  <c r="P45" i="23" s="1"/>
  <c r="I45" i="23"/>
  <c r="G46" i="23"/>
  <c r="N46" i="23" s="1"/>
  <c r="H46" i="23"/>
  <c r="Q46" i="23" s="1"/>
  <c r="I46" i="23"/>
  <c r="I21" i="23"/>
  <c r="I22" i="23"/>
  <c r="I23" i="23"/>
  <c r="I24" i="23"/>
  <c r="I25" i="23"/>
  <c r="I26" i="23"/>
  <c r="I27" i="23"/>
  <c r="I28" i="23"/>
  <c r="I29" i="23"/>
  <c r="I30" i="23"/>
  <c r="H21" i="23"/>
  <c r="P21" i="23" s="1"/>
  <c r="H22" i="23"/>
  <c r="P22" i="23" s="1"/>
  <c r="H23" i="23"/>
  <c r="P23" i="23" s="1"/>
  <c r="H24" i="23"/>
  <c r="P24" i="23" s="1"/>
  <c r="H25" i="23"/>
  <c r="P25" i="23" s="1"/>
  <c r="H26" i="23"/>
  <c r="P26" i="23" s="1"/>
  <c r="H27" i="23"/>
  <c r="Q27" i="23" s="1"/>
  <c r="H28" i="23"/>
  <c r="P28" i="23" s="1"/>
  <c r="H29" i="23"/>
  <c r="P29" i="23" s="1"/>
  <c r="H30" i="23"/>
  <c r="P30" i="23" s="1"/>
  <c r="G21" i="23"/>
  <c r="N21" i="23" s="1"/>
  <c r="G22" i="23"/>
  <c r="N22" i="23" s="1"/>
  <c r="G23" i="23"/>
  <c r="N23" i="23" s="1"/>
  <c r="G24" i="23"/>
  <c r="N24" i="23" s="1"/>
  <c r="G25" i="23"/>
  <c r="N25" i="23" s="1"/>
  <c r="G26" i="23"/>
  <c r="N26" i="23" s="1"/>
  <c r="G27" i="23"/>
  <c r="N27" i="23" s="1"/>
  <c r="G28" i="23"/>
  <c r="N28" i="23" s="1"/>
  <c r="G29" i="23"/>
  <c r="N29" i="23" s="1"/>
  <c r="G30" i="23"/>
  <c r="N30" i="23" s="1"/>
  <c r="Q4" i="14"/>
  <c r="E29" i="20" s="1"/>
  <c r="O46" i="23" l="1"/>
  <c r="O39" i="23"/>
  <c r="O38" i="23"/>
  <c r="Q29" i="23"/>
  <c r="O40" i="23"/>
  <c r="O25" i="23"/>
  <c r="O43" i="23"/>
  <c r="O23" i="23"/>
  <c r="O45" i="23"/>
  <c r="O30" i="23"/>
  <c r="P27" i="23"/>
  <c r="O42" i="23"/>
  <c r="O29" i="23"/>
  <c r="O21" i="23"/>
  <c r="Q26" i="23"/>
  <c r="O41" i="23"/>
  <c r="P38" i="23"/>
  <c r="O28" i="23"/>
  <c r="P46" i="23"/>
  <c r="Q45" i="23"/>
  <c r="O27" i="23"/>
  <c r="Q44" i="23"/>
  <c r="Q43" i="23"/>
  <c r="O26" i="23"/>
  <c r="Q24" i="23"/>
  <c r="O44" i="23"/>
  <c r="Q42" i="23"/>
  <c r="Q41" i="23"/>
  <c r="Q40" i="23"/>
  <c r="Q39" i="23"/>
  <c r="O24" i="23"/>
  <c r="Q22" i="23"/>
  <c r="O22" i="23"/>
  <c r="Q28" i="23"/>
  <c r="Q21" i="23"/>
  <c r="Q30" i="23"/>
  <c r="Q23" i="23"/>
  <c r="Q25" i="23"/>
  <c r="O20" i="14"/>
  <c r="S20" i="14"/>
  <c r="O11" i="14"/>
  <c r="S11" i="14"/>
  <c r="O12" i="14"/>
  <c r="S12" i="14"/>
  <c r="O13" i="14"/>
  <c r="S13" i="14"/>
  <c r="S10" i="14"/>
  <c r="O10" i="14"/>
  <c r="Q20" i="14" l="1"/>
  <c r="D46" i="20"/>
  <c r="Q13" i="14"/>
  <c r="D36" i="20"/>
  <c r="Q12" i="14"/>
  <c r="E35" i="20" s="1"/>
  <c r="L35" i="20" s="1"/>
  <c r="E29" i="23" s="1"/>
  <c r="D35" i="20"/>
  <c r="K35" i="20" s="1"/>
  <c r="Q11" i="14"/>
  <c r="T11" i="14" s="1"/>
  <c r="D34" i="20"/>
  <c r="Q10" i="14"/>
  <c r="U10" i="14" s="1"/>
  <c r="D33" i="20"/>
  <c r="T12" i="14"/>
  <c r="T10" i="14"/>
  <c r="I69" i="23"/>
  <c r="H69" i="23"/>
  <c r="G69" i="23"/>
  <c r="N69" i="23" s="1"/>
  <c r="I68" i="23"/>
  <c r="H68" i="23"/>
  <c r="G68" i="23"/>
  <c r="I67" i="23"/>
  <c r="H67" i="23"/>
  <c r="G67" i="23"/>
  <c r="I66" i="23"/>
  <c r="H66" i="23"/>
  <c r="G66" i="23"/>
  <c r="I65" i="23"/>
  <c r="H65" i="23"/>
  <c r="G65" i="23"/>
  <c r="N65" i="23" s="1"/>
  <c r="I64" i="23"/>
  <c r="H64" i="23"/>
  <c r="G64" i="23"/>
  <c r="N64" i="23" s="1"/>
  <c r="I60" i="23"/>
  <c r="H60" i="23"/>
  <c r="G60" i="23"/>
  <c r="N60" i="23" s="1"/>
  <c r="I59" i="23"/>
  <c r="H59" i="23"/>
  <c r="G59" i="23"/>
  <c r="N59" i="23" s="1"/>
  <c r="I55" i="23"/>
  <c r="H55" i="23"/>
  <c r="G55" i="23"/>
  <c r="N55" i="23" s="1"/>
  <c r="I54" i="23"/>
  <c r="H54" i="23"/>
  <c r="G54" i="23"/>
  <c r="N54" i="23" s="1"/>
  <c r="I50" i="23"/>
  <c r="H50" i="23"/>
  <c r="G50" i="23"/>
  <c r="N50" i="23" s="1"/>
  <c r="G35" i="23"/>
  <c r="N35" i="23" s="1"/>
  <c r="H35" i="23"/>
  <c r="I35" i="23"/>
  <c r="G36" i="23"/>
  <c r="N36" i="23" s="1"/>
  <c r="H36" i="23"/>
  <c r="I36" i="23"/>
  <c r="G37" i="23"/>
  <c r="N37" i="23" s="1"/>
  <c r="H37" i="23"/>
  <c r="I37" i="23"/>
  <c r="I34" i="23"/>
  <c r="H34" i="23"/>
  <c r="N34" i="23"/>
  <c r="L31" i="20"/>
  <c r="E25" i="23" s="1"/>
  <c r="O6" i="14"/>
  <c r="D31" i="20" s="1"/>
  <c r="S6" i="14"/>
  <c r="T6" i="14" s="1"/>
  <c r="S24" i="14"/>
  <c r="O24" i="14"/>
  <c r="Q24" i="14" l="1"/>
  <c r="U24" i="14" s="1"/>
  <c r="D52" i="20"/>
  <c r="D44" i="23" s="1"/>
  <c r="E46" i="20"/>
  <c r="L46" i="20" s="1"/>
  <c r="E38" i="23" s="1"/>
  <c r="D29" i="23"/>
  <c r="E36" i="20"/>
  <c r="L36" i="20" s="1"/>
  <c r="E30" i="23" s="1"/>
  <c r="T13" i="14"/>
  <c r="E33" i="20"/>
  <c r="L33" i="20" s="1"/>
  <c r="E27" i="23" s="1"/>
  <c r="U13" i="14"/>
  <c r="E34" i="20"/>
  <c r="L34" i="20" s="1"/>
  <c r="E28" i="23" s="1"/>
  <c r="U11" i="14"/>
  <c r="U12" i="14"/>
  <c r="K31" i="20"/>
  <c r="D25" i="23"/>
  <c r="K36" i="20"/>
  <c r="D30" i="23"/>
  <c r="K33" i="20"/>
  <c r="D27" i="23"/>
  <c r="K46" i="20"/>
  <c r="D38" i="23"/>
  <c r="K34" i="20"/>
  <c r="D28" i="23"/>
  <c r="O69" i="23"/>
  <c r="O60" i="23"/>
  <c r="N68" i="23"/>
  <c r="O68" i="23" s="1"/>
  <c r="P68" i="23" s="1"/>
  <c r="N66" i="23"/>
  <c r="O66" i="23" s="1"/>
  <c r="P66" i="23" s="1"/>
  <c r="N67" i="23"/>
  <c r="O67" i="23" s="1"/>
  <c r="P67" i="23" s="1"/>
  <c r="O65" i="23"/>
  <c r="P65" i="23" s="1"/>
  <c r="O59" i="23"/>
  <c r="P59" i="23" s="1"/>
  <c r="O64" i="23"/>
  <c r="P64" i="23" s="1"/>
  <c r="O35" i="23"/>
  <c r="P35" i="23" s="1"/>
  <c r="O50" i="23"/>
  <c r="P50" i="23" s="1"/>
  <c r="P69" i="23"/>
  <c r="P60" i="23"/>
  <c r="O37" i="23"/>
  <c r="P37" i="23" s="1"/>
  <c r="O36" i="23"/>
  <c r="P36" i="23" s="1"/>
  <c r="O54" i="23"/>
  <c r="P54" i="23" s="1"/>
  <c r="O34" i="23"/>
  <c r="P34" i="23" s="1"/>
  <c r="O55" i="23"/>
  <c r="P55" i="23"/>
  <c r="U6" i="14"/>
  <c r="O27" i="14"/>
  <c r="S21" i="14"/>
  <c r="O21" i="14"/>
  <c r="T24" i="14" l="1"/>
  <c r="K52" i="20"/>
  <c r="Q21" i="14"/>
  <c r="E49" i="20" s="1"/>
  <c r="D49" i="20"/>
  <c r="Q27" i="14"/>
  <c r="D61" i="20"/>
  <c r="E52" i="20"/>
  <c r="L52" i="20" s="1"/>
  <c r="E44" i="23" s="1"/>
  <c r="Q50" i="23"/>
  <c r="Q30" i="14"/>
  <c r="Q31" i="14"/>
  <c r="Q32" i="14"/>
  <c r="Q33" i="14"/>
  <c r="Q34" i="14"/>
  <c r="Q35" i="14"/>
  <c r="Q29" i="14"/>
  <c r="E78" i="20" s="1"/>
  <c r="L78" i="20" s="1"/>
  <c r="E60" i="23" s="1"/>
  <c r="Q60" i="23" s="1"/>
  <c r="Q28" i="14"/>
  <c r="E77" i="20" s="1"/>
  <c r="L77" i="20" s="1"/>
  <c r="E59" i="23" s="1"/>
  <c r="Q59" i="23" s="1"/>
  <c r="T21" i="14" l="1"/>
  <c r="U21" i="14"/>
  <c r="E61" i="20"/>
  <c r="L61" i="20" s="1"/>
  <c r="E50" i="23" s="1"/>
  <c r="E89" i="20"/>
  <c r="L89" i="20" s="1"/>
  <c r="E64" i="23" s="1"/>
  <c r="Q64" i="23" s="1"/>
  <c r="X30" i="14"/>
  <c r="Y30" i="14" s="1"/>
  <c r="E94" i="20"/>
  <c r="L94" i="20" s="1"/>
  <c r="E69" i="23" s="1"/>
  <c r="Q69" i="23" s="1"/>
  <c r="X35" i="14"/>
  <c r="Y35" i="14" s="1"/>
  <c r="E93" i="20"/>
  <c r="L93" i="20" s="1"/>
  <c r="E68" i="23" s="1"/>
  <c r="Q68" i="23" s="1"/>
  <c r="X34" i="14"/>
  <c r="Y34" i="14" s="1"/>
  <c r="E92" i="20"/>
  <c r="L92" i="20" s="1"/>
  <c r="E67" i="23" s="1"/>
  <c r="Q67" i="23" s="1"/>
  <c r="X33" i="14"/>
  <c r="Y33" i="14" s="1"/>
  <c r="E91" i="20"/>
  <c r="L91" i="20" s="1"/>
  <c r="E66" i="23" s="1"/>
  <c r="Q66" i="23" s="1"/>
  <c r="X32" i="14"/>
  <c r="Y32" i="14" s="1"/>
  <c r="E90" i="20"/>
  <c r="L90" i="20" s="1"/>
  <c r="X31" i="14"/>
  <c r="Y31" i="14" s="1"/>
  <c r="K90" i="20"/>
  <c r="D65" i="23"/>
  <c r="K94" i="20"/>
  <c r="D69" i="23"/>
  <c r="K91" i="20"/>
  <c r="D66" i="23"/>
  <c r="K89" i="20"/>
  <c r="D64" i="23"/>
  <c r="K77" i="20"/>
  <c r="D59" i="23"/>
  <c r="K93" i="20"/>
  <c r="D68" i="23"/>
  <c r="K61" i="20"/>
  <c r="D50" i="23"/>
  <c r="K78" i="20"/>
  <c r="D60" i="23"/>
  <c r="K92" i="20"/>
  <c r="D67" i="23"/>
  <c r="K85" i="20"/>
  <c r="E65" i="23" l="1"/>
  <c r="Q65" i="23" s="1"/>
  <c r="K101" i="20"/>
  <c r="K84" i="20"/>
  <c r="K100" i="20"/>
  <c r="B3" i="20"/>
  <c r="B3" i="23"/>
  <c r="I20" i="23"/>
  <c r="H20" i="23" l="1"/>
  <c r="G20" i="23"/>
  <c r="O5" i="14" l="1"/>
  <c r="S5" i="14"/>
  <c r="O7" i="14"/>
  <c r="D28" i="20" s="1"/>
  <c r="S7" i="14"/>
  <c r="O8" i="14"/>
  <c r="D30" i="20" s="1"/>
  <c r="S8" i="14"/>
  <c r="O9" i="14"/>
  <c r="D32" i="20" s="1"/>
  <c r="S9" i="14"/>
  <c r="O14" i="14"/>
  <c r="D47" i="20" s="1"/>
  <c r="S14" i="14"/>
  <c r="O15" i="14"/>
  <c r="D48" i="20" s="1"/>
  <c r="S15" i="14"/>
  <c r="O16" i="14"/>
  <c r="D42" i="20" s="1"/>
  <c r="S16" i="14"/>
  <c r="O17" i="14"/>
  <c r="D43" i="20" s="1"/>
  <c r="S17" i="14"/>
  <c r="O18" i="14"/>
  <c r="D44" i="20" s="1"/>
  <c r="S18" i="14"/>
  <c r="O19" i="14"/>
  <c r="D45" i="20" s="1"/>
  <c r="S19" i="14"/>
  <c r="O22" i="14"/>
  <c r="D50" i="20" s="1"/>
  <c r="S22" i="14"/>
  <c r="O23" i="14"/>
  <c r="D51" i="20" s="1"/>
  <c r="S23" i="14"/>
  <c r="O25" i="14"/>
  <c r="D53" i="20" s="1"/>
  <c r="S25" i="14"/>
  <c r="O26" i="14"/>
  <c r="D54" i="20" s="1"/>
  <c r="S26" i="14"/>
  <c r="O36" i="14"/>
  <c r="D67" i="20" s="1"/>
  <c r="S36" i="14"/>
  <c r="O37" i="14"/>
  <c r="D68" i="20" s="1"/>
  <c r="S37" i="14"/>
  <c r="S3" i="14"/>
  <c r="O3" i="14"/>
  <c r="D26" i="20" s="1"/>
  <c r="D27" i="20" l="1"/>
  <c r="Q5" i="14"/>
  <c r="E27" i="20" s="1"/>
  <c r="L27" i="20" s="1"/>
  <c r="E21" i="23" s="1"/>
  <c r="Q22" i="14"/>
  <c r="D42" i="23"/>
  <c r="Q23" i="14"/>
  <c r="E51" i="20" s="1"/>
  <c r="D43" i="23"/>
  <c r="Q15" i="14"/>
  <c r="E48" i="20" s="1"/>
  <c r="D40" i="23"/>
  <c r="Q3" i="14"/>
  <c r="E26" i="20" s="1"/>
  <c r="K26" i="20"/>
  <c r="Q36" i="14"/>
  <c r="E67" i="20" s="1"/>
  <c r="D54" i="23"/>
  <c r="Q8" i="14"/>
  <c r="E30" i="20" s="1"/>
  <c r="D24" i="23"/>
  <c r="Q37" i="14"/>
  <c r="E68" i="20" s="1"/>
  <c r="D55" i="23"/>
  <c r="Q25" i="14"/>
  <c r="E53" i="20" s="1"/>
  <c r="D45" i="23"/>
  <c r="Q16" i="14"/>
  <c r="E42" i="20" s="1"/>
  <c r="Q26" i="14"/>
  <c r="E54" i="20" s="1"/>
  <c r="D46" i="23"/>
  <c r="Q17" i="14"/>
  <c r="E43" i="20" s="1"/>
  <c r="Q19" i="14"/>
  <c r="E45" i="20" s="1"/>
  <c r="Q14" i="14"/>
  <c r="E47" i="20" s="1"/>
  <c r="D39" i="23"/>
  <c r="Q7" i="14"/>
  <c r="E28" i="20" s="1"/>
  <c r="D41" i="23"/>
  <c r="Q18" i="14"/>
  <c r="E44" i="20" s="1"/>
  <c r="Q9" i="14"/>
  <c r="E32" i="20" s="1"/>
  <c r="D26" i="23"/>
  <c r="E50" i="20" l="1"/>
  <c r="L50" i="20" s="1"/>
  <c r="E42" i="23" s="1"/>
  <c r="D21" i="23"/>
  <c r="K27" i="20"/>
  <c r="K29" i="20"/>
  <c r="D23" i="23"/>
  <c r="K28" i="20"/>
  <c r="D22" i="23"/>
  <c r="K47" i="20"/>
  <c r="K45" i="20"/>
  <c r="D37" i="23"/>
  <c r="K48" i="20"/>
  <c r="K49" i="20"/>
  <c r="K53" i="20"/>
  <c r="K44" i="20"/>
  <c r="D36" i="23"/>
  <c r="K43" i="20"/>
  <c r="D35" i="23"/>
  <c r="K54" i="20"/>
  <c r="K30" i="20"/>
  <c r="K51" i="20"/>
  <c r="K42" i="20"/>
  <c r="D34" i="23"/>
  <c r="K50" i="20"/>
  <c r="K32" i="20"/>
  <c r="T36" i="14"/>
  <c r="K67" i="20"/>
  <c r="K68" i="20"/>
  <c r="D20" i="23"/>
  <c r="U18" i="14"/>
  <c r="U7" i="14"/>
  <c r="T9" i="14"/>
  <c r="T16" i="14"/>
  <c r="U22" i="14"/>
  <c r="T17" i="14"/>
  <c r="U37" i="14"/>
  <c r="T25" i="14"/>
  <c r="T5" i="14"/>
  <c r="T26" i="14"/>
  <c r="U9" i="14"/>
  <c r="U5" i="14"/>
  <c r="T37" i="14"/>
  <c r="T18" i="14"/>
  <c r="U16" i="14"/>
  <c r="T14" i="14"/>
  <c r="U25" i="14"/>
  <c r="T3" i="14"/>
  <c r="U3" i="14"/>
  <c r="U14" i="14"/>
  <c r="T22" i="14"/>
  <c r="U19" i="14"/>
  <c r="T19" i="14"/>
  <c r="U8" i="14"/>
  <c r="T8" i="14"/>
  <c r="T23" i="14"/>
  <c r="U23" i="14"/>
  <c r="U15" i="14"/>
  <c r="U26" i="14"/>
  <c r="T7" i="14"/>
  <c r="T15" i="14"/>
  <c r="U17" i="14"/>
  <c r="U36" i="14"/>
  <c r="C30" i="7" l="1"/>
  <c r="N20" i="23"/>
  <c r="O20" i="23" s="1"/>
  <c r="O71" i="23" s="1"/>
  <c r="L47" i="20"/>
  <c r="E39" i="23" s="1"/>
  <c r="L43" i="20"/>
  <c r="E35" i="23" s="1"/>
  <c r="Q35" i="23" s="1"/>
  <c r="L45" i="20"/>
  <c r="E37" i="23" s="1"/>
  <c r="Q37" i="23" s="1"/>
  <c r="L32" i="20"/>
  <c r="E26" i="23" s="1"/>
  <c r="L51" i="20"/>
  <c r="E43" i="23" s="1"/>
  <c r="L68" i="20"/>
  <c r="E55" i="23" s="1"/>
  <c r="Q55" i="23" s="1"/>
  <c r="L29" i="20"/>
  <c r="E23" i="23" s="1"/>
  <c r="L54" i="20"/>
  <c r="E46" i="23" s="1"/>
  <c r="L30" i="20"/>
  <c r="E24" i="23" s="1"/>
  <c r="L42" i="20"/>
  <c r="E34" i="23" s="1"/>
  <c r="Q34" i="23" s="1"/>
  <c r="L44" i="20"/>
  <c r="E36" i="23" s="1"/>
  <c r="Q36" i="23" s="1"/>
  <c r="L53" i="20"/>
  <c r="E45" i="23" s="1"/>
  <c r="L49" i="20"/>
  <c r="E41" i="23" s="1"/>
  <c r="L67" i="20"/>
  <c r="E54" i="23" s="1"/>
  <c r="Q54" i="23" s="1"/>
  <c r="L48" i="20"/>
  <c r="E40" i="23" s="1"/>
  <c r="L26" i="20"/>
  <c r="L28" i="20"/>
  <c r="E22" i="23" s="1"/>
  <c r="C31" i="7" l="1"/>
  <c r="O72" i="23"/>
  <c r="O74" i="23"/>
  <c r="P20" i="23"/>
  <c r="E20" i="23"/>
  <c r="O75" i="23" s="1"/>
  <c r="O73" i="23" l="1"/>
  <c r="Q20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Fitzgibbon, Matt</author>
  </authors>
  <commentList>
    <comment ref="P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Fitzgibbon, Matt:</t>
        </r>
        <r>
          <rPr>
            <sz val="9"/>
            <color indexed="81"/>
            <rFont val="Tahoma"/>
            <family val="2"/>
          </rPr>
          <t xml:space="preserve">
Changed to make incentive $8 maximum, similar to residential program</t>
        </r>
      </text>
    </comment>
  </commentList>
</comments>
</file>

<file path=xl/sharedStrings.xml><?xml version="1.0" encoding="utf-8"?>
<sst xmlns="http://schemas.openxmlformats.org/spreadsheetml/2006/main" count="629" uniqueCount="218">
  <si>
    <t>Anticipated Incentive</t>
  </si>
  <si>
    <t>Application Information Form</t>
  </si>
  <si>
    <t>Member System Contact e-mail:</t>
  </si>
  <si>
    <t>Member System:</t>
  </si>
  <si>
    <t>Installation Address or Location:</t>
  </si>
  <si>
    <t>City:</t>
  </si>
  <si>
    <t>Zip Code:</t>
  </si>
  <si>
    <t>State:</t>
  </si>
  <si>
    <t>Member System Information</t>
  </si>
  <si>
    <t>Project Information</t>
  </si>
  <si>
    <t>Occupancy Type:</t>
  </si>
  <si>
    <t>Project Name:</t>
  </si>
  <si>
    <t>Account Number:</t>
  </si>
  <si>
    <t>Final invoice for completed work matching inputs on this application</t>
  </si>
  <si>
    <t>NOTE: Information from spreadsheet can be copied and pasted into the online application form</t>
  </si>
  <si>
    <t>Anticipated Completion Date:</t>
  </si>
  <si>
    <t>Today's Date:</t>
  </si>
  <si>
    <t>Anticipated kW Savings</t>
  </si>
  <si>
    <t>Project Summary (Calculation Based on Input Information)</t>
  </si>
  <si>
    <t>Total Anticipated kW Savings:</t>
  </si>
  <si>
    <t>Total Anticipated Incentive:</t>
  </si>
  <si>
    <t xml:space="preserve">Make and Model Number for new equipment or specification sheet </t>
  </si>
  <si>
    <t>Checklist of Necessary Information</t>
  </si>
  <si>
    <t>LED Replacement</t>
  </si>
  <si>
    <t>LED Exit Signs</t>
  </si>
  <si>
    <t>Exit Signs</t>
  </si>
  <si>
    <t>2ft Linear Replacement Lamp</t>
  </si>
  <si>
    <t>Exit Signs and Occupancy Sensors</t>
  </si>
  <si>
    <t>Incandescent</t>
  </si>
  <si>
    <t>100W Incandescent</t>
  </si>
  <si>
    <t>x</t>
  </si>
  <si>
    <t>Quantity Installed</t>
  </si>
  <si>
    <t>Incentive per Item</t>
  </si>
  <si>
    <t>Estimated kW Savings per Item</t>
  </si>
  <si>
    <t>Please Read - Important Notes</t>
  </si>
  <si>
    <t>Total kW Saved</t>
  </si>
  <si>
    <t>Total Incentive</t>
  </si>
  <si>
    <t>Measure Group</t>
  </si>
  <si>
    <t>Product Type</t>
  </si>
  <si>
    <t>Product Category</t>
  </si>
  <si>
    <t>Linear Tube Replacement</t>
  </si>
  <si>
    <t>Efficient Product Consumption (Watts)</t>
  </si>
  <si>
    <t>Efficient Hours of Operation (hrs/yr)</t>
  </si>
  <si>
    <t>LED Fixture</t>
  </si>
  <si>
    <t>Troffer Fixture</t>
  </si>
  <si>
    <t>Avg. Efficient Product Cost</t>
  </si>
  <si>
    <t>LED Lamp</t>
  </si>
  <si>
    <t>Screw In Lamp Replacement</t>
  </si>
  <si>
    <t>Screw-in or Pin Based LED Lamps (A19,PAR,BR,GU10)</t>
  </si>
  <si>
    <t>U-Bend LED Replacement Lamp</t>
  </si>
  <si>
    <t>Ubend Tube Replacement</t>
  </si>
  <si>
    <t>T8 Replacement Fixture</t>
  </si>
  <si>
    <t>4-6in Can Light</t>
  </si>
  <si>
    <t>Large Comm. Can Lights</t>
  </si>
  <si>
    <t>Linear High Bay</t>
  </si>
  <si>
    <t>Wallpack</t>
  </si>
  <si>
    <t>Bollard</t>
  </si>
  <si>
    <t>Canopy Light</t>
  </si>
  <si>
    <t>Sensor</t>
  </si>
  <si>
    <t>Sensors</t>
  </si>
  <si>
    <t>Baseline Product Description</t>
  </si>
  <si>
    <t>Efficient Measure Description</t>
  </si>
  <si>
    <t>Baseline Product Consumption (Watts)</t>
  </si>
  <si>
    <t>Avg. Baseline Product Cost</t>
  </si>
  <si>
    <t>8ft High Output T8 Lamp</t>
  </si>
  <si>
    <t>Fluorescent</t>
  </si>
  <si>
    <t>Halogen</t>
  </si>
  <si>
    <t>Can Light</t>
  </si>
  <si>
    <t>Large Can Light</t>
  </si>
  <si>
    <t>2 lamp U-Bend T8</t>
  </si>
  <si>
    <t>4 Lamp 4ft T8</t>
  </si>
  <si>
    <t>Metal Halide</t>
  </si>
  <si>
    <t>Assumed Energy Cost</t>
  </si>
  <si>
    <t>kW Reduction</t>
  </si>
  <si>
    <t>$/kW Incentive</t>
  </si>
  <si>
    <t>Total kW Saved Incentive</t>
  </si>
  <si>
    <t>Incentive as % of Incremental Cost</t>
  </si>
  <si>
    <t>Incentive as % of Efficient Product Cost</t>
  </si>
  <si>
    <t>Incremental Cost Payback Period w/ No Rebate</t>
  </si>
  <si>
    <t>Incremental Cost Payback Period w/ Rebate</t>
  </si>
  <si>
    <t>Annual kWh Savings per Fixture</t>
  </si>
  <si>
    <t>Customer kW Savings</t>
  </si>
  <si>
    <t>Generator Peak kW Savings</t>
  </si>
  <si>
    <t>Non-Energy O&amp;M Savings</t>
  </si>
  <si>
    <t>Energy O&amp;M Savings</t>
  </si>
  <si>
    <t>Coincidence Factor</t>
  </si>
  <si>
    <t>Incremental Cost of Efficient Equipment</t>
  </si>
  <si>
    <t>LED Lamp Replacements</t>
  </si>
  <si>
    <t>3ft or 4ft Linear Replacement Lamp</t>
  </si>
  <si>
    <t>MH</t>
  </si>
  <si>
    <t>400W MH High Bay</t>
  </si>
  <si>
    <t>Weighted Avg of MH Wallpack Equivalents</t>
  </si>
  <si>
    <t>Payback Period Calculator</t>
  </si>
  <si>
    <t>Payback Period w/ Rebate (Years)</t>
  </si>
  <si>
    <t>Payback Period w/Out Rebate (Years)</t>
  </si>
  <si>
    <t>Total Annual Energy Savings</t>
  </si>
  <si>
    <t>Years</t>
  </si>
  <si>
    <t>Proj. Payback w/ Rebate</t>
  </si>
  <si>
    <t>4ft Fluorescent T8 Wrap</t>
  </si>
  <si>
    <t>2 Lamp 4ft T8</t>
  </si>
  <si>
    <t>Member-owner Name:</t>
  </si>
  <si>
    <t>Combined MH Equivalents</t>
  </si>
  <si>
    <t>Existing Fixture Watts</t>
  </si>
  <si>
    <t>New Installed Fixture Watts</t>
  </si>
  <si>
    <t>Total Annual Energy Savings (All Installed Fixtures)</t>
  </si>
  <si>
    <t>2) You can select to use the estimated kW savings from the pre-authorized sheet or to input the existing fixture and new fixture watts</t>
  </si>
  <si>
    <t>3) If using Manual Input, the existing and new install watts are a per fixture basis</t>
  </si>
  <si>
    <t>4) Energy Savings and Paybacks are based on total installed quantity for specified fixture type</t>
  </si>
  <si>
    <t>Choose kW Savings Assumption Here   =======&gt;</t>
  </si>
  <si>
    <t>Proj. Payback w/Out Rebate</t>
  </si>
  <si>
    <t>Assumed Energy Cost ($/kWh)</t>
  </si>
  <si>
    <t>Estimated Hours of Operation per Year</t>
  </si>
  <si>
    <t>Anticipated Total Incentive</t>
  </si>
  <si>
    <t>Version Changes:</t>
  </si>
  <si>
    <t>Updated notes</t>
  </si>
  <si>
    <t>fixed locked cells for canopy lights</t>
  </si>
  <si>
    <t>Updated text for estimated hours under High bay and exterior lights</t>
  </si>
  <si>
    <t>On Submission Form Tab:</t>
  </si>
  <si>
    <t>Updated Occupancy Sensor to Vacancy/Occupancy Sensor</t>
  </si>
  <si>
    <t>Vacancy / Occupancy Sensor</t>
  </si>
  <si>
    <t>6) Payback Period calculator is based on the information input below and is for reference only. It is not a guarantee of energy savings</t>
  </si>
  <si>
    <t>or payback period associated with your project</t>
  </si>
  <si>
    <t>7) The information input below is optional and not required for rebate calculations or submissions.</t>
  </si>
  <si>
    <t>On Payback Calculator:</t>
  </si>
  <si>
    <t>Updated notes to be more clear on reference only</t>
  </si>
  <si>
    <t>Estimated kW Savings</t>
  </si>
  <si>
    <t>Removed Rounding on kW to match online application form</t>
  </si>
  <si>
    <t>Proj. ROI w/Out Rebate</t>
  </si>
  <si>
    <t>Proj. ROI w/ Rebate</t>
  </si>
  <si>
    <t>Added ROI</t>
  </si>
  <si>
    <t>Refrigerated Case Lighting</t>
  </si>
  <si>
    <t>Ref. Case Lighting</t>
  </si>
  <si>
    <t>Ref. Case Lighting - Open Case (per foot)</t>
  </si>
  <si>
    <t>Ref. Case Lighting Doors - (per Door)</t>
  </si>
  <si>
    <t>Total Refrigerated Case Lighting Incentive</t>
  </si>
  <si>
    <t>Pole Mounted Lighting</t>
  </si>
  <si>
    <t>29,000 Lumens and Greater</t>
  </si>
  <si>
    <t>13,000 to 28,999 Lumens</t>
  </si>
  <si>
    <t>7,000 to 12,999 Lumens</t>
  </si>
  <si>
    <t>5,000 to 6,999 Lumens</t>
  </si>
  <si>
    <t>3,000 to 4,999 Lumens</t>
  </si>
  <si>
    <t>2,100 to 2,999 Lumens</t>
  </si>
  <si>
    <t>Total Pole Mounted Lighting Incentive</t>
  </si>
  <si>
    <t>Added clarifying notes to submission form</t>
  </si>
  <si>
    <t>added ref. case lighting</t>
  </si>
  <si>
    <t>added pole mt lighting</t>
  </si>
  <si>
    <t>fixed calculations and wording on payback calc.</t>
  </si>
  <si>
    <t>Corrected total incentive calcs to limit to max rebates</t>
  </si>
  <si>
    <t>8ft Linear Replacement Lamp</t>
  </si>
  <si>
    <t>250W MH Low Bay</t>
  </si>
  <si>
    <t>LED Grow Lighting</t>
  </si>
  <si>
    <t>Grow Lights</t>
  </si>
  <si>
    <t>MH Grow Light</t>
  </si>
  <si>
    <t>LED Lamp Only</t>
  </si>
  <si>
    <t>LED Fixtures</t>
  </si>
  <si>
    <t>Troffer - 1x4</t>
  </si>
  <si>
    <t>Troffer - 2x2</t>
  </si>
  <si>
    <t>Troffer - 2x4</t>
  </si>
  <si>
    <t>Wrap Fixture</t>
  </si>
  <si>
    <t xml:space="preserve">8" or Larger Commercial Can Light </t>
  </si>
  <si>
    <t>6" or Smaller Can Light</t>
  </si>
  <si>
    <t>Screw-in or Pin Based Lamps (IE, A19,PAR,BR,GU10)</t>
  </si>
  <si>
    <t>U-Bend Replacement Lamp</t>
  </si>
  <si>
    <t>Low Bay (8k to 10k lumens)</t>
  </si>
  <si>
    <t>High Bay (Greater than 10k lumens)</t>
  </si>
  <si>
    <t>Wallpack or Sconce Light (1k to 2k Lumens)</t>
  </si>
  <si>
    <t>Wallpack or Sconce Light (Over 2k Lumens)</t>
  </si>
  <si>
    <t>Bollard Light</t>
  </si>
  <si>
    <t>Grow Lighting</t>
  </si>
  <si>
    <t>1) Incentive is based on the lesser of the stated incentive or 50% of per item cost, with a $20,000 cap per project</t>
  </si>
  <si>
    <t>LED Rope (per foot)</t>
  </si>
  <si>
    <t>HID Screw-in Replacement</t>
  </si>
  <si>
    <t>HID Light</t>
  </si>
  <si>
    <t>8 Ft Fixture</t>
  </si>
  <si>
    <t>HID Replacement (Up to 50 Watt)</t>
  </si>
  <si>
    <t>HID Replacement (51 to 90 Watts)</t>
  </si>
  <si>
    <t>HID Replacement (91 to 125 Watts)</t>
  </si>
  <si>
    <t>HID Replacement (Greater than 125 Watts</t>
  </si>
  <si>
    <t>4ft HO Linear Replacement Lamp</t>
  </si>
  <si>
    <t>Cost per Item</t>
  </si>
  <si>
    <t>changed "fixture" to item, to reduce some confusion we have gotten</t>
  </si>
  <si>
    <t>7) An itemized invoice with per item costs is required to participate in the program</t>
  </si>
  <si>
    <t>2) Pole-mounted LEDs and LED Refrigerated Case Lighting have project caps of $20,000 and $3,000, respectively</t>
  </si>
  <si>
    <t>3) Information should be submitted by the participating cooperative or PPD to Tri-State</t>
  </si>
  <si>
    <t>4) Anticipated incentives are subject to Tri-State's review of application information and may differ based on that information</t>
  </si>
  <si>
    <t>1) Anticipated Incentive, Quantity Installed, Cost per Item, and Hours per Year are based on inputs from the submission form</t>
  </si>
  <si>
    <t>updated notes for clarity</t>
  </si>
  <si>
    <t>5) Anticipated Incentive will not appear until information on Submission Form is filled out</t>
  </si>
  <si>
    <t>password is Retro1</t>
  </si>
  <si>
    <t>Retrofit Commercial LED Lighting Incentive Worksheet</t>
  </si>
  <si>
    <t>3ft or 4ft Type A or B Linear Lamp</t>
  </si>
  <si>
    <t>8ft Linear Lamp</t>
  </si>
  <si>
    <t>2ft Linear Lamp</t>
  </si>
  <si>
    <t>4ft HO or standard Type C Linear Lamp</t>
  </si>
  <si>
    <t>6) Items submitted under fixtures must be a complete fixture replacement or qualify under the note above</t>
  </si>
  <si>
    <t>5) Retrofit kits that include updated reflectors should be submitted under the appropriate fixture type</t>
  </si>
  <si>
    <t>8) High Output (HO) lamps must be defined as such in the lamps model number nomenclature</t>
  </si>
  <si>
    <t>Commercial LED - Retrofit</t>
  </si>
  <si>
    <t>Commercial LED - T12 Retrofit</t>
  </si>
  <si>
    <t>T12 Replacement 8ft Linear Lamp</t>
  </si>
  <si>
    <t>T12 Replacement 3ft or 4ft Type A or B Linear Lamp</t>
  </si>
  <si>
    <t>T12 Replacement 4ft HO or standard Type C Linear Lamp</t>
  </si>
  <si>
    <t>T12 Replacement Wrap Fixture</t>
  </si>
  <si>
    <t>T12 Replacement Troffer - 1x4 Fixture</t>
  </si>
  <si>
    <t>T12 Replacement Troffer - 2x2 Fixture</t>
  </si>
  <si>
    <t>T12 Replacement 8 Ft Fixture</t>
  </si>
  <si>
    <t>T12 Replacement Troffer - 2x4 Fixture</t>
  </si>
  <si>
    <t>T12 Replacement Low Bay Fixture (8k to 10k lumens)</t>
  </si>
  <si>
    <t>T12 Replacement High Bay Fixture (Greater than 10k lumens)</t>
  </si>
  <si>
    <t>Incentive Calculation</t>
  </si>
  <si>
    <t>Product Description</t>
  </si>
  <si>
    <t>Nice to have' Analytics</t>
  </si>
  <si>
    <t xml:space="preserve">Notes: </t>
  </si>
  <si>
    <t>9) LED to LED retrofits are not eligible for rebates</t>
  </si>
  <si>
    <t>11) Rebate applications submitted after 12.31.21 require that all LED products be DLC certified</t>
  </si>
  <si>
    <t>10) Battery-powered, emergency-only lighting systems and motion-sensor security lighting are not eligible for rebates</t>
  </si>
  <si>
    <t>Total Retrofit Incentive</t>
  </si>
  <si>
    <t>Version 2023.1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</si>
</sst>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_(* #,##0_);_(* \(#,##0\);_(* &quot;-&quot;??_);_(@_)"/>
    <numFmt numFmtId="167" formatCode="mm/dd/yy;@"/>
    <numFmt numFmtId="168" formatCode="00000"/>
    <numFmt numFmtId="169" formatCode="&quot;$&quot;#,##0.00"/>
    <numFmt numFmtId="170" formatCode="0.00\ &quot;kW&quot;"/>
    <numFmt numFmtId="171" formatCode="&quot;$&quot;#,##0.000"/>
    <numFmt numFmtId="172" formatCode="0.0%"/>
    <numFmt numFmtId="173" formatCode="&quot;$&quot;#,##0.0000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</font>
    <font>
      <i/>
      <sz val="9"/>
      <color rgb="FF7F7F7F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13" applyNumberFormat="0" applyAlignment="0" applyProtection="0"/>
    <xf numFmtId="0" fontId="32" fillId="13" borderId="14" applyNumberFormat="0" applyAlignment="0" applyProtection="0"/>
    <xf numFmtId="0" fontId="33" fillId="13" borderId="13" applyNumberFormat="0" applyAlignment="0" applyProtection="0"/>
    <xf numFmtId="0" fontId="34" fillId="0" borderId="15" applyNumberFormat="0" applyFill="0" applyAlignment="0" applyProtection="0"/>
    <xf numFmtId="0" fontId="22" fillId="14" borderId="16" applyNumberFormat="0" applyAlignment="0" applyProtection="0"/>
    <xf numFmtId="0" fontId="35" fillId="0" borderId="0" applyNumberFormat="0" applyFill="0" applyBorder="0" applyAlignment="0" applyProtection="0"/>
    <xf numFmtId="0" fontId="6" fillId="0" borderId="17" applyNumberFormat="0" applyFill="0" applyAlignment="0" applyProtection="0"/>
    <xf numFmtId="0" fontId="8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8" fillId="38" borderId="0" applyNumberFormat="0" applyBorder="0" applyAlignment="0" applyProtection="0"/>
    <xf numFmtId="0" fontId="23" fillId="24" borderId="0" applyNumberFormat="0" applyBorder="0" applyAlignment="0" applyProtection="0"/>
    <xf numFmtId="9" fontId="23" fillId="0" borderId="0" applyFont="0" applyFill="0" applyBorder="0" applyAlignment="0" applyProtection="0"/>
    <xf numFmtId="44" fontId="6" fillId="39" borderId="18">
      <alignment wrapText="1"/>
    </xf>
  </cellStyleXfs>
  <cellXfs count="152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right"/>
    </xf>
    <xf numFmtId="0" fontId="6" fillId="5" borderId="2" xfId="0" applyFont="1" applyFill="1" applyBorder="1" applyAlignment="1">
      <alignment horizontal="centerContinuous"/>
    </xf>
    <xf numFmtId="164" fontId="2" fillId="5" borderId="3" xfId="0" applyNumberFormat="1" applyFont="1" applyFill="1" applyBorder="1" applyAlignment="1" applyProtection="1">
      <alignment horizontal="centerContinuous"/>
      <protection locked="0"/>
    </xf>
    <xf numFmtId="0" fontId="10" fillId="2" borderId="0" xfId="3" applyFill="1"/>
    <xf numFmtId="164" fontId="10" fillId="2" borderId="0" xfId="3" applyNumberFormat="1" applyFill="1" applyProtection="1">
      <protection locked="0"/>
    </xf>
    <xf numFmtId="0" fontId="10" fillId="2" borderId="0" xfId="3" applyFill="1" applyProtection="1">
      <protection locked="0"/>
    </xf>
    <xf numFmtId="0" fontId="15" fillId="4" borderId="2" xfId="0" applyFont="1" applyFill="1" applyBorder="1" applyAlignment="1">
      <alignment horizontal="centerContinuous"/>
    </xf>
    <xf numFmtId="0" fontId="18" fillId="2" borderId="0" xfId="0" applyFont="1" applyFill="1"/>
    <xf numFmtId="0" fontId="19" fillId="4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" wrapText="1"/>
    </xf>
    <xf numFmtId="44" fontId="0" fillId="2" borderId="0" xfId="2" applyFont="1" applyFill="1"/>
    <xf numFmtId="0" fontId="6" fillId="2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Continuous"/>
    </xf>
    <xf numFmtId="0" fontId="9" fillId="3" borderId="7" xfId="0" applyFont="1" applyFill="1" applyBorder="1" applyAlignment="1">
      <alignment horizontal="centerContinuous"/>
    </xf>
    <xf numFmtId="0" fontId="21" fillId="3" borderId="8" xfId="0" applyFont="1" applyFill="1" applyBorder="1" applyAlignment="1">
      <alignment horizontal="centerContinuous"/>
    </xf>
    <xf numFmtId="0" fontId="9" fillId="3" borderId="9" xfId="0" applyFont="1" applyFill="1" applyBorder="1" applyAlignment="1">
      <alignment horizontal="centerContinuous"/>
    </xf>
    <xf numFmtId="165" fontId="3" fillId="2" borderId="0" xfId="0" applyNumberFormat="1" applyFont="1" applyFill="1" applyProtection="1">
      <protection locked="0"/>
    </xf>
    <xf numFmtId="49" fontId="13" fillId="7" borderId="1" xfId="0" applyNumberFormat="1" applyFont="1" applyFill="1" applyBorder="1" applyAlignment="1" applyProtection="1">
      <alignment horizontal="right"/>
      <protection locked="0"/>
    </xf>
    <xf numFmtId="0" fontId="13" fillId="7" borderId="1" xfId="0" applyFont="1" applyFill="1" applyBorder="1" applyAlignment="1" applyProtection="1">
      <alignment horizontal="right"/>
      <protection locked="0"/>
    </xf>
    <xf numFmtId="168" fontId="13" fillId="7" borderId="1" xfId="0" applyNumberFormat="1" applyFont="1" applyFill="1" applyBorder="1" applyAlignment="1" applyProtection="1">
      <alignment horizontal="right"/>
      <protection locked="0"/>
    </xf>
    <xf numFmtId="164" fontId="12" fillId="7" borderId="1" xfId="0" applyNumberFormat="1" applyFont="1" applyFill="1" applyBorder="1" applyAlignment="1" applyProtection="1">
      <alignment horizontal="right"/>
      <protection locked="0"/>
    </xf>
    <xf numFmtId="167" fontId="3" fillId="7" borderId="1" xfId="0" applyNumberFormat="1" applyFont="1" applyFill="1" applyBorder="1" applyProtection="1">
      <protection locked="0"/>
    </xf>
    <xf numFmtId="49" fontId="14" fillId="7" borderId="1" xfId="4" applyNumberFormat="1" applyFill="1" applyBorder="1" applyAlignment="1" applyProtection="1">
      <alignment horizontal="right"/>
      <protection locked="0"/>
    </xf>
    <xf numFmtId="167" fontId="3" fillId="7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8" xfId="0" applyFill="1" applyBorder="1"/>
    <xf numFmtId="0" fontId="0" fillId="2" borderId="19" xfId="0" applyFill="1" applyBorder="1"/>
    <xf numFmtId="169" fontId="0" fillId="2" borderId="18" xfId="0" applyNumberFormat="1" applyFill="1" applyBorder="1"/>
    <xf numFmtId="166" fontId="0" fillId="2" borderId="18" xfId="1" applyNumberFormat="1" applyFont="1" applyFill="1" applyBorder="1"/>
    <xf numFmtId="0" fontId="0" fillId="2" borderId="18" xfId="0" applyFill="1" applyBorder="1" applyAlignment="1">
      <alignment horizontal="center"/>
    </xf>
    <xf numFmtId="43" fontId="0" fillId="2" borderId="18" xfId="1" applyFont="1" applyFill="1" applyBorder="1"/>
    <xf numFmtId="43" fontId="0" fillId="2" borderId="0" xfId="0" applyNumberFormat="1" applyFill="1"/>
    <xf numFmtId="170" fontId="23" fillId="2" borderId="18" xfId="1" applyNumberFormat="1" applyFont="1" applyFill="1" applyBorder="1"/>
    <xf numFmtId="171" fontId="31" fillId="12" borderId="22" xfId="13" applyNumberFormat="1" applyBorder="1"/>
    <xf numFmtId="43" fontId="0" fillId="2" borderId="18" xfId="0" applyNumberFormat="1" applyFill="1" applyBorder="1"/>
    <xf numFmtId="165" fontId="31" fillId="12" borderId="18" xfId="13" applyNumberFormat="1" applyBorder="1"/>
    <xf numFmtId="169" fontId="33" fillId="13" borderId="18" xfId="15" applyNumberFormat="1" applyBorder="1"/>
    <xf numFmtId="172" fontId="0" fillId="2" borderId="18" xfId="45" applyNumberFormat="1" applyFont="1" applyFill="1" applyBorder="1"/>
    <xf numFmtId="173" fontId="0" fillId="7" borderId="18" xfId="1" applyNumberFormat="1" applyFont="1" applyFill="1" applyBorder="1" applyProtection="1">
      <protection locked="0"/>
    </xf>
    <xf numFmtId="166" fontId="0" fillId="7" borderId="18" xfId="1" applyNumberFormat="1" applyFont="1" applyFill="1" applyBorder="1" applyProtection="1">
      <protection locked="0"/>
    </xf>
    <xf numFmtId="169" fontId="0" fillId="7" borderId="18" xfId="2" applyNumberFormat="1" applyFont="1" applyFill="1" applyBorder="1" applyProtection="1"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6" fontId="0" fillId="7" borderId="21" xfId="1" applyNumberFormat="1" applyFont="1" applyFill="1" applyBorder="1" applyProtection="1">
      <protection locked="0"/>
    </xf>
    <xf numFmtId="166" fontId="0" fillId="7" borderId="25" xfId="1" applyNumberFormat="1" applyFont="1" applyFill="1" applyBorder="1" applyProtection="1">
      <protection locked="0"/>
    </xf>
    <xf numFmtId="0" fontId="17" fillId="4" borderId="5" xfId="0" applyFont="1" applyFill="1" applyBorder="1" applyAlignment="1">
      <alignment horizontal="centerContinuous"/>
    </xf>
    <xf numFmtId="0" fontId="17" fillId="4" borderId="6" xfId="0" applyFont="1" applyFill="1" applyBorder="1" applyAlignment="1">
      <alignment horizontal="centerContinuous"/>
    </xf>
    <xf numFmtId="0" fontId="8" fillId="4" borderId="6" xfId="0" applyFont="1" applyFill="1" applyBorder="1" applyAlignment="1">
      <alignment horizontal="centerContinuous"/>
    </xf>
    <xf numFmtId="0" fontId="0" fillId="4" borderId="6" xfId="0" applyFill="1" applyBorder="1" applyAlignment="1">
      <alignment horizontal="centerContinuous"/>
    </xf>
    <xf numFmtId="0" fontId="0" fillId="4" borderId="7" xfId="0" applyFill="1" applyBorder="1" applyAlignment="1">
      <alignment horizontal="centerContinuous"/>
    </xf>
    <xf numFmtId="0" fontId="39" fillId="4" borderId="8" xfId="0" applyFont="1" applyFill="1" applyBorder="1" applyAlignment="1">
      <alignment horizontal="centerContinuous"/>
    </xf>
    <xf numFmtId="0" fontId="39" fillId="4" borderId="4" xfId="0" applyFont="1" applyFill="1" applyBorder="1" applyAlignment="1">
      <alignment horizontal="centerContinuous"/>
    </xf>
    <xf numFmtId="0" fontId="40" fillId="4" borderId="4" xfId="0" applyFont="1" applyFill="1" applyBorder="1" applyAlignment="1">
      <alignment horizontal="centerContinuous"/>
    </xf>
    <xf numFmtId="0" fontId="41" fillId="4" borderId="4" xfId="0" applyFont="1" applyFill="1" applyBorder="1" applyAlignment="1">
      <alignment horizontal="centerContinuous"/>
    </xf>
    <xf numFmtId="0" fontId="41" fillId="4" borderId="9" xfId="0" applyFont="1" applyFill="1" applyBorder="1" applyAlignment="1">
      <alignment horizontal="centerContinuous"/>
    </xf>
    <xf numFmtId="0" fontId="11" fillId="6" borderId="19" xfId="0" applyFont="1" applyFill="1" applyBorder="1" applyAlignment="1">
      <alignment horizontal="centerContinuous"/>
    </xf>
    <xf numFmtId="0" fontId="11" fillId="6" borderId="20" xfId="0" applyFont="1" applyFill="1" applyBorder="1" applyAlignment="1">
      <alignment horizontal="centerContinuous"/>
    </xf>
    <xf numFmtId="0" fontId="11" fillId="6" borderId="21" xfId="0" applyFont="1" applyFill="1" applyBorder="1" applyAlignment="1">
      <alignment horizontal="centerContinuous"/>
    </xf>
    <xf numFmtId="0" fontId="36" fillId="2" borderId="0" xfId="0" applyFont="1" applyFill="1"/>
    <xf numFmtId="0" fontId="10" fillId="2" borderId="0" xfId="3" applyFill="1" applyProtection="1"/>
    <xf numFmtId="0" fontId="10" fillId="2" borderId="0" xfId="3" applyFill="1" applyBorder="1" applyProtection="1"/>
    <xf numFmtId="0" fontId="10" fillId="2" borderId="0" xfId="3" applyFill="1" applyAlignment="1" applyProtection="1">
      <alignment horizontal="left" indent="1"/>
    </xf>
    <xf numFmtId="0" fontId="11" fillId="2" borderId="0" xfId="0" applyFont="1" applyFill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right"/>
    </xf>
    <xf numFmtId="0" fontId="11" fillId="7" borderId="18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Continuous"/>
    </xf>
    <xf numFmtId="0" fontId="22" fillId="3" borderId="20" xfId="0" applyFont="1" applyFill="1" applyBorder="1" applyAlignment="1">
      <alignment horizontal="centerContinuous"/>
    </xf>
    <xf numFmtId="0" fontId="8" fillId="3" borderId="20" xfId="0" applyFont="1" applyFill="1" applyBorder="1" applyAlignment="1">
      <alignment horizontal="centerContinuous"/>
    </xf>
    <xf numFmtId="0" fontId="22" fillId="3" borderId="21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Continuous"/>
    </xf>
    <xf numFmtId="0" fontId="6" fillId="2" borderId="0" xfId="0" applyFont="1" applyFill="1" applyAlignment="1">
      <alignment horizontal="center" wrapText="1"/>
    </xf>
    <xf numFmtId="0" fontId="0" fillId="2" borderId="20" xfId="0" applyFill="1" applyBorder="1"/>
    <xf numFmtId="43" fontId="0" fillId="2" borderId="18" xfId="1" applyFont="1" applyFill="1" applyBorder="1" applyProtection="1"/>
    <xf numFmtId="169" fontId="20" fillId="2" borderId="20" xfId="2" applyNumberFormat="1" applyFont="1" applyFill="1" applyBorder="1" applyProtection="1"/>
    <xf numFmtId="0" fontId="20" fillId="2" borderId="20" xfId="0" applyFont="1" applyFill="1" applyBorder="1" applyAlignment="1">
      <alignment horizontal="center"/>
    </xf>
    <xf numFmtId="166" fontId="0" fillId="2" borderId="18" xfId="1" applyNumberFormat="1" applyFont="1" applyFill="1" applyBorder="1" applyProtection="1"/>
    <xf numFmtId="169" fontId="0" fillId="2" borderId="18" xfId="1" applyNumberFormat="1" applyFont="1" applyFill="1" applyBorder="1" applyProtection="1"/>
    <xf numFmtId="44" fontId="0" fillId="2" borderId="18" xfId="2" applyFont="1" applyFill="1" applyBorder="1" applyProtection="1"/>
    <xf numFmtId="0" fontId="0" fillId="2" borderId="6" xfId="0" applyFill="1" applyBorder="1"/>
    <xf numFmtId="0" fontId="20" fillId="2" borderId="6" xfId="0" applyFont="1" applyFill="1" applyBorder="1" applyAlignment="1">
      <alignment horizontal="center"/>
    </xf>
    <xf numFmtId="0" fontId="22" fillId="2" borderId="0" xfId="0" applyFont="1" applyFill="1" applyAlignment="1">
      <alignment horizontal="centerContinuous"/>
    </xf>
    <xf numFmtId="0" fontId="0" fillId="2" borderId="4" xfId="0" applyFill="1" applyBorder="1"/>
    <xf numFmtId="0" fontId="6" fillId="6" borderId="5" xfId="0" applyFont="1" applyFill="1" applyBorder="1"/>
    <xf numFmtId="0" fontId="6" fillId="6" borderId="6" xfId="0" applyFont="1" applyFill="1" applyBorder="1"/>
    <xf numFmtId="44" fontId="6" fillId="6" borderId="6" xfId="0" applyNumberFormat="1" applyFont="1" applyFill="1" applyBorder="1"/>
    <xf numFmtId="0" fontId="6" fillId="6" borderId="7" xfId="0" applyFont="1" applyFill="1" applyBorder="1"/>
    <xf numFmtId="0" fontId="6" fillId="6" borderId="23" xfId="0" applyFont="1" applyFill="1" applyBorder="1"/>
    <xf numFmtId="0" fontId="6" fillId="6" borderId="0" xfId="0" applyFont="1" applyFill="1"/>
    <xf numFmtId="172" fontId="6" fillId="6" borderId="0" xfId="45" applyNumberFormat="1" applyFont="1" applyFill="1" applyBorder="1" applyProtection="1"/>
    <xf numFmtId="0" fontId="0" fillId="6" borderId="24" xfId="0" applyFill="1" applyBorder="1"/>
    <xf numFmtId="43" fontId="6" fillId="6" borderId="0" xfId="1" applyFont="1" applyFill="1" applyBorder="1" applyProtection="1"/>
    <xf numFmtId="0" fontId="6" fillId="6" borderId="24" xfId="0" applyFont="1" applyFill="1" applyBorder="1"/>
    <xf numFmtId="0" fontId="6" fillId="6" borderId="8" xfId="0" applyFont="1" applyFill="1" applyBorder="1"/>
    <xf numFmtId="0" fontId="6" fillId="6" borderId="4" xfId="0" applyFont="1" applyFill="1" applyBorder="1"/>
    <xf numFmtId="43" fontId="6" fillId="6" borderId="4" xfId="1" applyFont="1" applyFill="1" applyBorder="1" applyProtection="1"/>
    <xf numFmtId="0" fontId="6" fillId="6" borderId="9" xfId="0" applyFont="1" applyFill="1" applyBorder="1"/>
    <xf numFmtId="0" fontId="17" fillId="4" borderId="4" xfId="0" applyFont="1" applyFill="1" applyBorder="1" applyAlignment="1">
      <alignment horizontal="centerContinuous"/>
    </xf>
    <xf numFmtId="0" fontId="8" fillId="4" borderId="4" xfId="0" applyFont="1" applyFill="1" applyBorder="1" applyAlignment="1">
      <alignment horizontal="centerContinuous"/>
    </xf>
    <xf numFmtId="0" fontId="11" fillId="5" borderId="19" xfId="0" applyFont="1" applyFill="1" applyBorder="1" applyAlignment="1">
      <alignment horizontal="centerContinuous"/>
    </xf>
    <xf numFmtId="0" fontId="11" fillId="5" borderId="20" xfId="0" applyFont="1" applyFill="1" applyBorder="1" applyAlignment="1">
      <alignment horizontal="centerContinuous"/>
    </xf>
    <xf numFmtId="0" fontId="11" fillId="5" borderId="21" xfId="0" applyFont="1" applyFill="1" applyBorder="1" applyAlignment="1">
      <alignment horizontal="centerContinuous"/>
    </xf>
    <xf numFmtId="0" fontId="0" fillId="8" borderId="18" xfId="0" applyFill="1" applyBorder="1"/>
    <xf numFmtId="0" fontId="0" fillId="2" borderId="0" xfId="0" applyFill="1" applyAlignment="1">
      <alignment horizontal="left" indent="1"/>
    </xf>
    <xf numFmtId="0" fontId="8" fillId="3" borderId="6" xfId="0" applyFont="1" applyFill="1" applyBorder="1" applyAlignment="1">
      <alignment horizontal="centerContinuous"/>
    </xf>
    <xf numFmtId="170" fontId="20" fillId="2" borderId="20" xfId="1" applyNumberFormat="1" applyFont="1" applyFill="1" applyBorder="1" applyProtection="1"/>
    <xf numFmtId="43" fontId="6" fillId="2" borderId="19" xfId="1" applyFont="1" applyFill="1" applyBorder="1" applyProtection="1"/>
    <xf numFmtId="44" fontId="6" fillId="2" borderId="21" xfId="2" applyFont="1" applyFill="1" applyBorder="1" applyProtection="1"/>
    <xf numFmtId="44" fontId="6" fillId="2" borderId="0" xfId="2" applyFont="1" applyFill="1" applyBorder="1" applyProtection="1"/>
    <xf numFmtId="0" fontId="20" fillId="2" borderId="21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6" fillId="40" borderId="19" xfId="0" applyFont="1" applyFill="1" applyBorder="1" applyAlignment="1">
      <alignment horizontal="centerContinuous"/>
    </xf>
    <xf numFmtId="0" fontId="6" fillId="40" borderId="20" xfId="0" applyFont="1" applyFill="1" applyBorder="1" applyAlignment="1">
      <alignment horizontal="centerContinuous"/>
    </xf>
    <xf numFmtId="0" fontId="6" fillId="40" borderId="21" xfId="0" applyFont="1" applyFill="1" applyBorder="1" applyAlignment="1">
      <alignment horizontal="centerContinuous"/>
    </xf>
    <xf numFmtId="0" fontId="6" fillId="2" borderId="0" xfId="0" applyFont="1" applyFill="1"/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0" fillId="6" borderId="6" xfId="0" applyFill="1" applyBorder="1"/>
    <xf numFmtId="170" fontId="6" fillId="6" borderId="7" xfId="1" applyNumberFormat="1" applyFont="1" applyFill="1" applyBorder="1" applyProtection="1"/>
    <xf numFmtId="0" fontId="6" fillId="6" borderId="8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0" fillId="6" borderId="4" xfId="0" applyFill="1" applyBorder="1"/>
    <xf numFmtId="169" fontId="6" fillId="6" borderId="9" xfId="0" applyNumberFormat="1" applyFont="1" applyFill="1" applyBorder="1"/>
    <xf numFmtId="170" fontId="20" fillId="2" borderId="0" xfId="1" applyNumberFormat="1" applyFont="1" applyFill="1" applyBorder="1" applyProtection="1"/>
    <xf numFmtId="169" fontId="20" fillId="2" borderId="0" xfId="2" applyNumberFormat="1" applyFont="1" applyFill="1" applyBorder="1" applyProtection="1"/>
    <xf numFmtId="0" fontId="20" fillId="2" borderId="0" xfId="0" applyFont="1" applyFill="1" applyAlignment="1">
      <alignment horizontal="center"/>
    </xf>
    <xf numFmtId="166" fontId="0" fillId="2" borderId="0" xfId="1" applyNumberFormat="1" applyFont="1" applyFill="1" applyBorder="1" applyProtection="1"/>
    <xf numFmtId="169" fontId="0" fillId="2" borderId="0" xfId="2" applyNumberFormat="1" applyFont="1" applyFill="1" applyBorder="1" applyProtection="1"/>
    <xf numFmtId="43" fontId="6" fillId="2" borderId="0" xfId="1" applyFont="1" applyFill="1" applyBorder="1" applyProtection="1"/>
    <xf numFmtId="165" fontId="31" fillId="2" borderId="18" xfId="13" applyNumberFormat="1" applyFill="1" applyBorder="1"/>
    <xf numFmtId="169" fontId="33" fillId="2" borderId="18" xfId="15" applyNumberFormat="1" applyFill="1" applyBorder="1"/>
    <xf numFmtId="171" fontId="31" fillId="2" borderId="22" xfId="13" applyNumberFormat="1" applyFill="1" applyBorder="1"/>
    <xf numFmtId="0" fontId="20" fillId="2" borderId="18" xfId="0" applyFont="1" applyFill="1" applyBorder="1" applyAlignment="1">
      <alignment horizontal="center"/>
    </xf>
    <xf numFmtId="166" fontId="0" fillId="2" borderId="18" xfId="1" applyNumberFormat="1" applyFont="1" applyFill="1" applyBorder="1" applyProtection="1">
      <protection locked="0"/>
    </xf>
    <xf numFmtId="170" fontId="20" fillId="2" borderId="19" xfId="1" applyNumberFormat="1" applyFont="1" applyFill="1" applyBorder="1" applyProtection="1"/>
    <xf numFmtId="166" fontId="0" fillId="2" borderId="20" xfId="1" applyNumberFormat="1" applyFont="1" applyFill="1" applyBorder="1" applyProtection="1">
      <protection locked="0"/>
    </xf>
    <xf numFmtId="169" fontId="0" fillId="2" borderId="20" xfId="2" applyNumberFormat="1" applyFont="1" applyFill="1" applyBorder="1" applyProtection="1">
      <protection locked="0"/>
    </xf>
    <xf numFmtId="43" fontId="6" fillId="2" borderId="20" xfId="1" applyFont="1" applyFill="1" applyBorder="1" applyProtection="1"/>
    <xf numFmtId="0" fontId="0" fillId="2" borderId="0" xfId="0" applyFill="1" applyAlignment="1">
      <alignment vertical="center"/>
    </xf>
    <xf numFmtId="0" fontId="0" fillId="41" borderId="0" xfId="0" applyFill="1" applyAlignment="1">
      <alignment horizontal="center"/>
    </xf>
    <xf numFmtId="0" fontId="0" fillId="41" borderId="0" xfId="0" quotePrefix="1" applyFill="1" applyAlignment="1">
      <alignment horizontal="center"/>
    </xf>
    <xf numFmtId="0" fontId="6" fillId="41" borderId="0" xfId="0" applyFont="1" applyFill="1" applyAlignment="1">
      <alignment horizont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hidden="1" customBuiltin="1"/>
    <cellStyle name="20% - Accent3" xfId="44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3" builtinId="53"/>
    <cellStyle name="Good" xfId="10" builtinId="26" customBuiltin="1"/>
    <cellStyle name="h'" xfId="46" xr:uid="{00000000-0005-0000-0000-000020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Output" xfId="14" builtinId="21" customBuiltin="1"/>
    <cellStyle name="Percent" xfId="45" builtinId="5"/>
    <cellStyle name="Title" xfId="5" builtinId="15" customBuiltin="1"/>
    <cellStyle name="Total" xfId="19" builtinId="25" customBuiltin="1"/>
    <cellStyle name="Warning Text" xfId="18" builtinId="11" customBuiltin="1"/>
  </cellStyles>
  <dxfs count="12"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60"/>
  <sheetViews>
    <sheetView tabSelected="1" zoomScale="80" zoomScaleNormal="80" workbookViewId="0">
      <selection activeCell="B6" sqref="B6"/>
    </sheetView>
  </sheetViews>
  <sheetFormatPr defaultColWidth="0" defaultRowHeight="15" zeroHeight="1" x14ac:dyDescent="0.25"/>
  <cols>
    <col min="1" max="1" width="3.28515625" style="1" customWidth="1"/>
    <col min="2" max="2" width="69" style="1" customWidth="1"/>
    <col min="3" max="3" width="36.7109375" style="1" customWidth="1"/>
    <col min="4" max="4" width="3.28515625" style="1" customWidth="1"/>
    <col min="5" max="6" width="0" style="1" hidden="1" customWidth="1"/>
    <col min="7" max="16384" width="9.140625" style="1" hidden="1"/>
  </cols>
  <sheetData>
    <row r="1" spans="2:6" x14ac:dyDescent="0.25"/>
    <row r="2" spans="2:6" s="16" customFormat="1" ht="33.75" x14ac:dyDescent="0.5">
      <c r="B2" s="15" t="s">
        <v>189</v>
      </c>
      <c r="C2" s="17"/>
    </row>
    <row r="3" spans="2:6" ht="5.0999999999999996" customHeight="1" x14ac:dyDescent="0.45">
      <c r="B3" s="7"/>
      <c r="C3" s="8"/>
    </row>
    <row r="4" spans="2:6" s="2" customFormat="1" ht="21" customHeight="1" x14ac:dyDescent="0.45">
      <c r="B4" s="21" t="s">
        <v>1</v>
      </c>
      <c r="C4" s="22"/>
      <c r="D4" s="3"/>
      <c r="E4" s="3"/>
      <c r="F4" s="3"/>
    </row>
    <row r="5" spans="2:6" s="2" customFormat="1" ht="16.899999999999999" customHeight="1" x14ac:dyDescent="0.45">
      <c r="B5" s="23" t="s">
        <v>217</v>
      </c>
      <c r="C5" s="24"/>
      <c r="D5" s="3"/>
      <c r="E5" s="3"/>
      <c r="F5" s="3"/>
    </row>
    <row r="6" spans="2:6" ht="5.0999999999999996" customHeight="1" x14ac:dyDescent="0.35">
      <c r="C6" s="4"/>
      <c r="D6" s="5"/>
      <c r="E6" s="6"/>
      <c r="F6" s="6"/>
    </row>
    <row r="7" spans="2:6" s="12" customFormat="1" ht="12" x14ac:dyDescent="0.2">
      <c r="B7" s="12" t="s">
        <v>14</v>
      </c>
      <c r="C7" s="13"/>
      <c r="D7" s="14"/>
    </row>
    <row r="8" spans="2:6" ht="5.0999999999999996" customHeight="1" x14ac:dyDescent="0.35">
      <c r="C8" s="4"/>
      <c r="D8" s="5"/>
      <c r="E8" s="6"/>
      <c r="F8" s="6"/>
    </row>
    <row r="9" spans="2:6" ht="21" x14ac:dyDescent="0.35">
      <c r="B9" s="10" t="s">
        <v>8</v>
      </c>
      <c r="C9" s="11"/>
      <c r="D9" s="5"/>
      <c r="E9" s="6"/>
      <c r="F9" s="6"/>
    </row>
    <row r="10" spans="2:6" ht="5.0999999999999996" customHeight="1" x14ac:dyDescent="0.35">
      <c r="D10" s="5"/>
      <c r="E10" s="6"/>
      <c r="F10" s="6"/>
    </row>
    <row r="11" spans="2:6" ht="21" x14ac:dyDescent="0.35">
      <c r="B11" s="9" t="s">
        <v>16</v>
      </c>
      <c r="C11" s="32"/>
      <c r="D11" s="5"/>
      <c r="E11" s="6"/>
      <c r="F11" s="6"/>
    </row>
    <row r="12" spans="2:6" ht="21" x14ac:dyDescent="0.35">
      <c r="B12" s="9" t="s">
        <v>3</v>
      </c>
      <c r="C12" s="26"/>
      <c r="D12" s="5"/>
      <c r="E12" s="6"/>
      <c r="F12" s="6"/>
    </row>
    <row r="13" spans="2:6" ht="21" x14ac:dyDescent="0.35">
      <c r="B13" s="9" t="s">
        <v>2</v>
      </c>
      <c r="C13" s="31"/>
      <c r="D13" s="5"/>
      <c r="E13" s="6"/>
      <c r="F13" s="6"/>
    </row>
    <row r="14" spans="2:6" ht="5.0999999999999996" customHeight="1" x14ac:dyDescent="0.35">
      <c r="C14" s="4"/>
      <c r="D14" s="5"/>
      <c r="E14" s="6"/>
      <c r="F14" s="6"/>
    </row>
    <row r="15" spans="2:6" ht="21" x14ac:dyDescent="0.35">
      <c r="B15" s="10" t="s">
        <v>9</v>
      </c>
      <c r="C15" s="11"/>
      <c r="D15" s="5"/>
      <c r="E15" s="6"/>
      <c r="F15" s="6"/>
    </row>
    <row r="16" spans="2:6" ht="5.0999999999999996" customHeight="1" x14ac:dyDescent="0.35">
      <c r="C16" s="4"/>
      <c r="D16" s="5"/>
      <c r="E16" s="6"/>
      <c r="F16" s="6"/>
    </row>
    <row r="17" spans="2:6" ht="21" x14ac:dyDescent="0.35">
      <c r="B17" s="9" t="s">
        <v>100</v>
      </c>
      <c r="C17" s="26"/>
      <c r="D17" s="5"/>
      <c r="E17" s="6"/>
      <c r="F17" s="6"/>
    </row>
    <row r="18" spans="2:6" ht="21" x14ac:dyDescent="0.35">
      <c r="B18" s="9" t="s">
        <v>12</v>
      </c>
      <c r="C18" s="27"/>
      <c r="D18" s="5"/>
      <c r="E18" s="6"/>
      <c r="F18" s="6"/>
    </row>
    <row r="19" spans="2:6" ht="21" x14ac:dyDescent="0.35">
      <c r="B19" s="9" t="s">
        <v>4</v>
      </c>
      <c r="C19" s="26"/>
      <c r="D19" s="5"/>
      <c r="E19" s="6"/>
      <c r="F19" s="6"/>
    </row>
    <row r="20" spans="2:6" ht="21" x14ac:dyDescent="0.35">
      <c r="B20" s="9" t="s">
        <v>5</v>
      </c>
      <c r="C20" s="26"/>
      <c r="D20" s="5"/>
      <c r="E20" s="6"/>
      <c r="F20" s="6"/>
    </row>
    <row r="21" spans="2:6" ht="21" x14ac:dyDescent="0.35">
      <c r="B21" s="9" t="s">
        <v>7</v>
      </c>
      <c r="C21" s="26"/>
      <c r="D21" s="5"/>
      <c r="E21" s="6"/>
      <c r="F21" s="6"/>
    </row>
    <row r="22" spans="2:6" ht="21" x14ac:dyDescent="0.35">
      <c r="B22" s="9" t="s">
        <v>6</v>
      </c>
      <c r="C22" s="28"/>
      <c r="D22" s="5"/>
      <c r="E22" s="6"/>
      <c r="F22" s="6"/>
    </row>
    <row r="23" spans="2:6" ht="21" x14ac:dyDescent="0.35">
      <c r="B23" s="9" t="s">
        <v>11</v>
      </c>
      <c r="C23" s="29"/>
      <c r="D23" s="5"/>
      <c r="E23" s="6"/>
      <c r="F23" s="6"/>
    </row>
    <row r="24" spans="2:6" ht="21" x14ac:dyDescent="0.35">
      <c r="B24" s="9" t="s">
        <v>15</v>
      </c>
      <c r="C24" s="30"/>
      <c r="D24" s="5"/>
      <c r="E24" s="6"/>
      <c r="F24" s="6"/>
    </row>
    <row r="25" spans="2:6" ht="21" x14ac:dyDescent="0.35">
      <c r="B25" s="9" t="s">
        <v>10</v>
      </c>
      <c r="C25" s="26"/>
      <c r="D25" s="5"/>
      <c r="E25" s="6"/>
      <c r="F25" s="6"/>
    </row>
    <row r="26" spans="2:6" ht="5.0999999999999996" customHeight="1" x14ac:dyDescent="0.35">
      <c r="B26" s="9"/>
      <c r="C26" s="25"/>
      <c r="D26" s="5"/>
      <c r="E26" s="6"/>
      <c r="F26" s="6"/>
    </row>
    <row r="27" spans="2:6" ht="5.0999999999999996" customHeight="1" x14ac:dyDescent="0.35">
      <c r="C27" s="4"/>
      <c r="D27" s="5"/>
      <c r="E27" s="6"/>
      <c r="F27" s="6"/>
    </row>
    <row r="28" spans="2:6" ht="21" x14ac:dyDescent="0.35">
      <c r="B28" s="10" t="s">
        <v>18</v>
      </c>
      <c r="C28" s="11"/>
      <c r="D28" s="5"/>
      <c r="E28" s="6"/>
      <c r="F28" s="6"/>
    </row>
    <row r="29" spans="2:6" ht="5.0999999999999996" customHeight="1" x14ac:dyDescent="0.25"/>
    <row r="30" spans="2:6" x14ac:dyDescent="0.25">
      <c r="B30" s="9" t="s">
        <v>19</v>
      </c>
      <c r="C30" s="41">
        <f>'Submission Form'!$K$72+'Submission Form'!$K$84+'Submission Form'!$K$100</f>
        <v>0</v>
      </c>
    </row>
    <row r="31" spans="2:6" x14ac:dyDescent="0.25">
      <c r="B31" s="9" t="s">
        <v>20</v>
      </c>
      <c r="C31" s="36">
        <f>+'Submission Form'!$K$73+'Submission Form'!$K$85+'Submission Form'!$K$101</f>
        <v>0</v>
      </c>
    </row>
    <row r="32" spans="2:6" ht="5.0999999999999996" customHeight="1" x14ac:dyDescent="0.25">
      <c r="B32" s="9"/>
      <c r="C32" s="19"/>
    </row>
    <row r="33" spans="2:2" hidden="1" x14ac:dyDescent="0.25">
      <c r="B33" s="12"/>
    </row>
    <row r="34" spans="2:2" hidden="1" x14ac:dyDescent="0.25">
      <c r="B34" s="12"/>
    </row>
    <row r="60" x14ac:dyDescent="0.25"/>
  </sheetData>
  <sheetProtection algorithmName="SHA-512" hashValue="lBP183aVj46lnRtGNtpL7L/4ngcQgLYjNPAXtBJ+cklve4q3amL6rG5cbRYiMwnz/IWOsUAnOnveoxJlL6FIxQ==" saltValue="qZ/odrzEXwwWhBONlabiJg==" spinCount="100000" sheet="1" objects="1" scenarios="1"/>
  <printOptions horizontalCentered="1"/>
  <pageMargins left="0.7" right="0.7" top="0.75" bottom="0.75" header="0.3" footer="0.3"/>
  <pageSetup scale="85" orientation="portrait" r:id="rId1"/>
  <headerFooter>
    <oddFooter>&amp;LPre-Authorized Comm. Lighting&amp;RPage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0"/>
  <sheetViews>
    <sheetView topLeftCell="A91" zoomScale="90" zoomScaleNormal="90" workbookViewId="0">
      <selection activeCell="C20" sqref="C20"/>
    </sheetView>
  </sheetViews>
  <sheetFormatPr defaultColWidth="0" defaultRowHeight="15" zeroHeight="1" x14ac:dyDescent="0.25"/>
  <cols>
    <col min="1" max="2" width="3.28515625" style="1" customWidth="1"/>
    <col min="3" max="3" width="48" style="1" customWidth="1"/>
    <col min="4" max="4" width="14.140625" style="1" bestFit="1" customWidth="1"/>
    <col min="5" max="5" width="12.7109375" style="1" customWidth="1"/>
    <col min="6" max="6" width="3.28515625" style="1" customWidth="1"/>
    <col min="7" max="7" width="12.7109375" style="1" customWidth="1"/>
    <col min="8" max="8" width="14.140625" style="1" bestFit="1" customWidth="1"/>
    <col min="9" max="9" width="14.140625" style="1" customWidth="1"/>
    <col min="10" max="10" width="0.85546875" style="1" customWidth="1"/>
    <col min="11" max="12" width="12.7109375" style="1" customWidth="1"/>
    <col min="13" max="13" width="0.85546875" style="1" customWidth="1"/>
    <col min="14" max="14" width="3.28515625" style="1" customWidth="1"/>
    <col min="15" max="24" width="0" style="1" hidden="1" customWidth="1"/>
    <col min="25" max="16384" width="8.85546875" style="1" hidden="1"/>
  </cols>
  <sheetData>
    <row r="1" spans="2:13" x14ac:dyDescent="0.25"/>
    <row r="2" spans="2:13" ht="18.75" x14ac:dyDescent="0.3">
      <c r="B2" s="54" t="str">
        <f>+'Application Information'!B2</f>
        <v>Retrofit Commercial LED Lighting Incentive Worksheet</v>
      </c>
      <c r="C2" s="55"/>
      <c r="D2" s="55"/>
      <c r="E2" s="56"/>
      <c r="F2" s="56"/>
      <c r="G2" s="56"/>
      <c r="H2" s="56"/>
      <c r="I2" s="56"/>
      <c r="J2" s="56"/>
      <c r="K2" s="56"/>
      <c r="L2" s="56"/>
      <c r="M2" s="56"/>
    </row>
    <row r="3" spans="2:13" ht="12" customHeight="1" x14ac:dyDescent="0.3">
      <c r="B3" s="59" t="str">
        <f>+'Application Information'!B5</f>
        <v>Version 2023.1</v>
      </c>
      <c r="C3" s="106"/>
      <c r="D3" s="106"/>
      <c r="E3" s="107"/>
      <c r="F3" s="107"/>
      <c r="G3" s="107"/>
      <c r="H3" s="107"/>
      <c r="I3" s="107"/>
      <c r="J3" s="107"/>
      <c r="K3" s="107"/>
      <c r="L3" s="107"/>
      <c r="M3" s="107"/>
    </row>
    <row r="4" spans="2:13" ht="4.9000000000000004" customHeight="1" x14ac:dyDescent="0.25"/>
    <row r="5" spans="2:13" x14ac:dyDescent="0.25">
      <c r="B5" s="108" t="s">
        <v>22</v>
      </c>
      <c r="C5" s="109"/>
      <c r="D5" s="109"/>
      <c r="E5" s="109"/>
      <c r="F5" s="110"/>
    </row>
    <row r="6" spans="2:13" ht="5.0999999999999996" customHeight="1" x14ac:dyDescent="0.25"/>
    <row r="7" spans="2:13" x14ac:dyDescent="0.25">
      <c r="B7" s="111"/>
      <c r="C7" s="112" t="s">
        <v>13</v>
      </c>
      <c r="D7" s="112"/>
    </row>
    <row r="8" spans="2:13" ht="5.0999999999999996" customHeight="1" x14ac:dyDescent="0.25">
      <c r="C8" s="112"/>
      <c r="D8" s="112"/>
    </row>
    <row r="9" spans="2:13" x14ac:dyDescent="0.25">
      <c r="B9" s="111"/>
      <c r="C9" s="112" t="s">
        <v>21</v>
      </c>
      <c r="D9" s="112"/>
    </row>
    <row r="10" spans="2:13" ht="4.9000000000000004" customHeight="1" x14ac:dyDescent="0.25"/>
    <row r="11" spans="2:13" s="67" customFormat="1" x14ac:dyDescent="0.25">
      <c r="B11" s="64" t="s">
        <v>34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spans="2:13" ht="4.9000000000000004" customHeight="1" x14ac:dyDescent="0.25"/>
    <row r="13" spans="2:13" ht="12" customHeight="1" x14ac:dyDescent="0.25">
      <c r="B13" s="68" t="s">
        <v>169</v>
      </c>
      <c r="C13" s="68"/>
      <c r="D13" s="68"/>
    </row>
    <row r="14" spans="2:13" ht="12" customHeight="1" x14ac:dyDescent="0.25">
      <c r="B14" s="68" t="s">
        <v>182</v>
      </c>
      <c r="C14" s="68"/>
      <c r="D14" s="68"/>
    </row>
    <row r="15" spans="2:13" ht="12" customHeight="1" x14ac:dyDescent="0.25">
      <c r="B15" s="68" t="s">
        <v>183</v>
      </c>
    </row>
    <row r="16" spans="2:13" ht="12" customHeight="1" x14ac:dyDescent="0.25">
      <c r="B16" s="68" t="s">
        <v>184</v>
      </c>
    </row>
    <row r="17" spans="2:13" ht="12" customHeight="1" x14ac:dyDescent="0.25">
      <c r="B17" s="68" t="s">
        <v>195</v>
      </c>
    </row>
    <row r="18" spans="2:13" ht="12" customHeight="1" x14ac:dyDescent="0.25">
      <c r="B18" s="68" t="s">
        <v>194</v>
      </c>
    </row>
    <row r="19" spans="2:13" ht="12" customHeight="1" x14ac:dyDescent="0.25">
      <c r="B19" s="68" t="s">
        <v>181</v>
      </c>
    </row>
    <row r="20" spans="2:13" ht="12" customHeight="1" x14ac:dyDescent="0.25">
      <c r="B20" s="68" t="s">
        <v>196</v>
      </c>
    </row>
    <row r="21" spans="2:13" ht="12" customHeight="1" x14ac:dyDescent="0.25">
      <c r="B21" s="68" t="s">
        <v>213</v>
      </c>
    </row>
    <row r="22" spans="2:13" ht="12" customHeight="1" x14ac:dyDescent="0.25">
      <c r="B22" s="68" t="s">
        <v>215</v>
      </c>
    </row>
    <row r="23" spans="2:13" ht="12" customHeight="1" x14ac:dyDescent="0.25">
      <c r="B23" s="68" t="s">
        <v>214</v>
      </c>
    </row>
    <row r="24" spans="2:13" x14ac:dyDescent="0.25">
      <c r="B24" s="75" t="s">
        <v>153</v>
      </c>
      <c r="C24" s="76"/>
      <c r="D24" s="76"/>
      <c r="E24" s="76"/>
      <c r="F24" s="76"/>
      <c r="G24" s="77"/>
      <c r="H24" s="77"/>
      <c r="I24" s="77"/>
      <c r="J24" s="77"/>
      <c r="K24" s="77"/>
      <c r="L24" s="77"/>
      <c r="M24" s="113"/>
    </row>
    <row r="25" spans="2:13" ht="60" x14ac:dyDescent="0.25">
      <c r="B25" s="79" t="s">
        <v>23</v>
      </c>
      <c r="C25" s="79"/>
      <c r="D25" s="18" t="s">
        <v>33</v>
      </c>
      <c r="E25" s="18" t="s">
        <v>32</v>
      </c>
      <c r="F25" s="20"/>
      <c r="G25" s="18" t="s">
        <v>31</v>
      </c>
      <c r="H25" s="18" t="s">
        <v>179</v>
      </c>
      <c r="I25" s="80" t="s">
        <v>111</v>
      </c>
      <c r="J25" s="80"/>
      <c r="K25" s="18" t="s">
        <v>17</v>
      </c>
      <c r="L25" s="18" t="s">
        <v>0</v>
      </c>
      <c r="M25" s="80"/>
    </row>
    <row r="26" spans="2:13" x14ac:dyDescent="0.25">
      <c r="B26" s="34" t="s">
        <v>191</v>
      </c>
      <c r="C26" s="81"/>
      <c r="D26" s="114">
        <f>INDEX('Measure Assumptions'!$O$3:$O$47,MATCH('Submission Form'!$B26,'Measure Assumptions'!$D$3:$D$47,0),0)</f>
        <v>4.9500000000000002E-2</v>
      </c>
      <c r="E26" s="83">
        <f>INDEX('Measure Assumptions'!$Q$3:$Q$47,MATCH('Submission Form'!$B26,'Measure Assumptions'!$D$3:$D$47,0),0)</f>
        <v>6</v>
      </c>
      <c r="F26" s="84" t="s">
        <v>30</v>
      </c>
      <c r="G26" s="48"/>
      <c r="H26" s="49"/>
      <c r="I26" s="143"/>
      <c r="K26" s="115">
        <f>D26*G26</f>
        <v>0</v>
      </c>
      <c r="L26" s="116">
        <f t="shared" ref="L26:L32" si="0">ROUND(MIN((G26*E26),(0.5*(H26*G26))),2)</f>
        <v>0</v>
      </c>
      <c r="M26" s="117"/>
    </row>
    <row r="27" spans="2:13" x14ac:dyDescent="0.25">
      <c r="B27" s="35" t="s">
        <v>190</v>
      </c>
      <c r="C27" s="81"/>
      <c r="D27" s="114">
        <f>INDEX('Measure Assumptions'!$O$3:$O$47,MATCH('Submission Form'!$B27,'Measure Assumptions'!$D$3:$D$47,0),0)</f>
        <v>1.2109999999999999E-2</v>
      </c>
      <c r="E27" s="83">
        <f>INDEX('Measure Assumptions'!$Q$3:$Q$47,MATCH('Submission Form'!$B27,'Measure Assumptions'!$D$3:$D$47,0),0)</f>
        <v>1.5</v>
      </c>
      <c r="F27" s="84" t="s">
        <v>30</v>
      </c>
      <c r="G27" s="48"/>
      <c r="H27" s="49"/>
      <c r="I27" s="143"/>
      <c r="K27" s="115">
        <f>D27*G27</f>
        <v>0</v>
      </c>
      <c r="L27" s="116">
        <f t="shared" ref="L27" si="1">ROUND(MIN((G27*E27),(0.5*(H27*G27))),2)</f>
        <v>0</v>
      </c>
      <c r="M27" s="117"/>
    </row>
    <row r="28" spans="2:13" x14ac:dyDescent="0.25">
      <c r="B28" s="34" t="s">
        <v>192</v>
      </c>
      <c r="C28" s="81"/>
      <c r="D28" s="114">
        <f>INDEX('Measure Assumptions'!$O$3:$O$47,MATCH('Submission Form'!$B28,'Measure Assumptions'!$D$3:$D$47,0),0)</f>
        <v>8.5000000000000006E-3</v>
      </c>
      <c r="E28" s="83">
        <f>INDEX('Measure Assumptions'!$Q$3:$Q$47,MATCH('Submission Form'!$B28,'Measure Assumptions'!$D$3:$D$47,0),0)</f>
        <v>1</v>
      </c>
      <c r="F28" s="84" t="s">
        <v>30</v>
      </c>
      <c r="G28" s="48"/>
      <c r="H28" s="49"/>
      <c r="I28" s="143"/>
      <c r="K28" s="115">
        <f t="shared" ref="K28:K32" si="2">D28*G28</f>
        <v>0</v>
      </c>
      <c r="L28" s="116">
        <f t="shared" si="0"/>
        <v>0</v>
      </c>
      <c r="M28" s="117"/>
    </row>
    <row r="29" spans="2:13" x14ac:dyDescent="0.25">
      <c r="B29" s="34" t="s">
        <v>193</v>
      </c>
      <c r="C29" s="81"/>
      <c r="D29" s="114">
        <f>INDEX('Measure Assumptions'!$O$3:$O$47,MATCH('Submission Form'!$B29,'Measure Assumptions'!$D$3:$D$47,0),0)</f>
        <v>2.8000000000000001E-2</v>
      </c>
      <c r="E29" s="83">
        <f>INDEX('Measure Assumptions'!$Q$3:$Q$47,MATCH('Submission Form'!$B29,'Measure Assumptions'!$D$3:$D$47,0),0)</f>
        <v>4</v>
      </c>
      <c r="F29" s="84" t="s">
        <v>30</v>
      </c>
      <c r="G29" s="48"/>
      <c r="H29" s="49"/>
      <c r="I29" s="143"/>
      <c r="K29" s="115">
        <f t="shared" si="2"/>
        <v>0</v>
      </c>
      <c r="L29" s="116">
        <f t="shared" si="0"/>
        <v>0</v>
      </c>
      <c r="M29" s="117"/>
    </row>
    <row r="30" spans="2:13" x14ac:dyDescent="0.25">
      <c r="B30" s="35" t="s">
        <v>162</v>
      </c>
      <c r="C30" s="81"/>
      <c r="D30" s="114">
        <f>INDEX('Measure Assumptions'!$O$3:$O$47,MATCH('Submission Form'!$B30,'Measure Assumptions'!$D$3:$D$47,0),0)</f>
        <v>1.55E-2</v>
      </c>
      <c r="E30" s="83">
        <f>INDEX('Measure Assumptions'!$Q$3:$Q$47,MATCH('Submission Form'!$B30,'Measure Assumptions'!$D$3:$D$47,0),0)</f>
        <v>2</v>
      </c>
      <c r="F30" s="84" t="s">
        <v>30</v>
      </c>
      <c r="G30" s="48"/>
      <c r="H30" s="49"/>
      <c r="I30" s="143"/>
      <c r="K30" s="115">
        <f t="shared" si="2"/>
        <v>0</v>
      </c>
      <c r="L30" s="116">
        <f t="shared" si="0"/>
        <v>0</v>
      </c>
      <c r="M30" s="117"/>
    </row>
    <row r="31" spans="2:13" x14ac:dyDescent="0.25">
      <c r="B31" s="35" t="s">
        <v>170</v>
      </c>
      <c r="C31" s="81"/>
      <c r="D31" s="114">
        <f>INDEX('Measure Assumptions'!$O$3:$O$47,MATCH('Submission Form'!$B31,'Measure Assumptions'!$D$3:$D$47,0),0)</f>
        <v>1.2109999999999999E-2</v>
      </c>
      <c r="E31" s="83">
        <f>INDEX('Measure Assumptions'!$Q$3:$Q$47,MATCH('Submission Form'!$B31,'Measure Assumptions'!$D$3:$D$47,0),0)</f>
        <v>1</v>
      </c>
      <c r="F31" s="84" t="s">
        <v>30</v>
      </c>
      <c r="G31" s="48"/>
      <c r="H31" s="49"/>
      <c r="I31" s="143"/>
      <c r="K31" s="115">
        <f t="shared" ref="K31" si="3">D31*G31</f>
        <v>0</v>
      </c>
      <c r="L31" s="116">
        <f t="shared" ref="L31" si="4">ROUND(MIN((G31*E31),(0.5*(H31*G31))),2)</f>
        <v>0</v>
      </c>
      <c r="M31" s="117"/>
    </row>
    <row r="32" spans="2:13" x14ac:dyDescent="0.25">
      <c r="B32" s="35" t="s">
        <v>161</v>
      </c>
      <c r="C32" s="81"/>
      <c r="D32" s="114">
        <f>INDEX('Measure Assumptions'!$O$3:$O$47,MATCH('Submission Form'!$B32,'Measure Assumptions'!$D$3:$D$47,0),0)</f>
        <v>3.1E-2</v>
      </c>
      <c r="E32" s="83">
        <f>INDEX('Measure Assumptions'!$Q$3:$Q$47,MATCH('Submission Form'!$B32,'Measure Assumptions'!$D$3:$D$47,0),0)</f>
        <v>8</v>
      </c>
      <c r="F32" s="84" t="s">
        <v>30</v>
      </c>
      <c r="G32" s="48"/>
      <c r="H32" s="49"/>
      <c r="I32" s="143"/>
      <c r="K32" s="115">
        <f t="shared" si="2"/>
        <v>0</v>
      </c>
      <c r="L32" s="116">
        <f t="shared" si="0"/>
        <v>0</v>
      </c>
      <c r="M32" s="117"/>
    </row>
    <row r="33" spans="2:13" x14ac:dyDescent="0.25">
      <c r="B33" s="35" t="s">
        <v>174</v>
      </c>
      <c r="C33" s="81"/>
      <c r="D33" s="114">
        <f>INDEX('Measure Assumptions'!$O$3:$O$47,MATCH('Submission Form'!$B33,'Measure Assumptions'!$D$3:$D$47,0),0)</f>
        <v>0.1</v>
      </c>
      <c r="E33" s="83">
        <f>INDEX('Measure Assumptions'!$Q$3:$Q$47,MATCH('Submission Form'!$B33,'Measure Assumptions'!$D$3:$D$47,0),0)</f>
        <v>25</v>
      </c>
      <c r="F33" s="84" t="s">
        <v>30</v>
      </c>
      <c r="G33" s="48"/>
      <c r="H33" s="49"/>
      <c r="I33" s="143"/>
      <c r="K33" s="115">
        <f t="shared" ref="K33:K36" si="5">D33*G33</f>
        <v>0</v>
      </c>
      <c r="L33" s="116">
        <f t="shared" ref="L33:L36" si="6">ROUND(MIN((G33*E33),(0.5*(H33*G33))),2)</f>
        <v>0</v>
      </c>
      <c r="M33" s="117"/>
    </row>
    <row r="34" spans="2:13" x14ac:dyDescent="0.25">
      <c r="B34" s="35" t="s">
        <v>175</v>
      </c>
      <c r="C34" s="81"/>
      <c r="D34" s="114">
        <f>INDEX('Measure Assumptions'!$O$3:$O$47,MATCH('Submission Form'!$B34,'Measure Assumptions'!$D$3:$D$47,0),0)</f>
        <v>0.13400000000000001</v>
      </c>
      <c r="E34" s="83">
        <f>INDEX('Measure Assumptions'!$Q$3:$Q$47,MATCH('Submission Form'!$B34,'Measure Assumptions'!$D$3:$D$47,0),0)</f>
        <v>34</v>
      </c>
      <c r="F34" s="84" t="s">
        <v>30</v>
      </c>
      <c r="G34" s="48"/>
      <c r="H34" s="49"/>
      <c r="I34" s="143"/>
      <c r="K34" s="115">
        <f t="shared" si="5"/>
        <v>0</v>
      </c>
      <c r="L34" s="116">
        <f t="shared" si="6"/>
        <v>0</v>
      </c>
      <c r="M34" s="117"/>
    </row>
    <row r="35" spans="2:13" x14ac:dyDescent="0.25">
      <c r="B35" s="35" t="s">
        <v>176</v>
      </c>
      <c r="C35" s="81"/>
      <c r="D35" s="114">
        <f>INDEX('Measure Assumptions'!$O$3:$O$47,MATCH('Submission Form'!$B35,'Measure Assumptions'!$D$3:$D$47,0),0)</f>
        <v>0.219</v>
      </c>
      <c r="E35" s="83">
        <f>INDEX('Measure Assumptions'!$Q$3:$Q$47,MATCH('Submission Form'!$B35,'Measure Assumptions'!$D$3:$D$47,0),0)</f>
        <v>55</v>
      </c>
      <c r="F35" s="84" t="s">
        <v>30</v>
      </c>
      <c r="G35" s="48"/>
      <c r="H35" s="49"/>
      <c r="I35" s="143"/>
      <c r="K35" s="115">
        <f t="shared" si="5"/>
        <v>0</v>
      </c>
      <c r="L35" s="116">
        <f t="shared" si="6"/>
        <v>0</v>
      </c>
      <c r="M35" s="117"/>
    </row>
    <row r="36" spans="2:13" x14ac:dyDescent="0.25">
      <c r="B36" s="35" t="s">
        <v>177</v>
      </c>
      <c r="C36" s="81"/>
      <c r="D36" s="114">
        <f>INDEX('Measure Assumptions'!$O$3:$O$47,MATCH('Submission Form'!$B36,'Measure Assumptions'!$D$3:$D$47,0),0)</f>
        <v>0.28299999999999997</v>
      </c>
      <c r="E36" s="83">
        <f>INDEX('Measure Assumptions'!$Q$3:$Q$47,MATCH('Submission Form'!$B36,'Measure Assumptions'!$D$3:$D$47,0),0)</f>
        <v>71</v>
      </c>
      <c r="F36" s="84" t="s">
        <v>30</v>
      </c>
      <c r="G36" s="48"/>
      <c r="H36" s="49"/>
      <c r="I36" s="143"/>
      <c r="K36" s="115">
        <f t="shared" si="5"/>
        <v>0</v>
      </c>
      <c r="L36" s="116">
        <f t="shared" si="6"/>
        <v>0</v>
      </c>
      <c r="M36" s="117"/>
    </row>
    <row r="37" spans="2:13" ht="4.9000000000000004" customHeight="1" x14ac:dyDescent="0.25"/>
    <row r="38" spans="2:13" ht="22.5" customHeight="1" x14ac:dyDescent="0.25">
      <c r="C38" s="148" t="s">
        <v>212</v>
      </c>
      <c r="D38" s="144"/>
      <c r="E38" s="83"/>
      <c r="F38" s="84"/>
      <c r="G38" s="145"/>
      <c r="H38" s="146"/>
      <c r="I38" s="145"/>
      <c r="J38" s="81"/>
      <c r="K38" s="147"/>
      <c r="L38" s="116"/>
      <c r="M38" s="117"/>
    </row>
    <row r="39" spans="2:13" ht="4.9000000000000004" customHeight="1" x14ac:dyDescent="0.25"/>
    <row r="40" spans="2:13" x14ac:dyDescent="0.25">
      <c r="B40" s="75" t="s">
        <v>154</v>
      </c>
      <c r="C40" s="76"/>
      <c r="D40" s="76"/>
      <c r="E40" s="76"/>
      <c r="F40" s="76"/>
      <c r="G40" s="77"/>
      <c r="H40" s="77"/>
      <c r="I40" s="77"/>
      <c r="J40" s="77"/>
      <c r="K40" s="77"/>
      <c r="L40" s="77"/>
      <c r="M40" s="77"/>
    </row>
    <row r="41" spans="2:13" ht="60" x14ac:dyDescent="0.25">
      <c r="B41" s="79" t="s">
        <v>23</v>
      </c>
      <c r="C41" s="79"/>
      <c r="D41" s="18" t="s">
        <v>33</v>
      </c>
      <c r="E41" s="18" t="s">
        <v>32</v>
      </c>
      <c r="F41" s="20"/>
      <c r="G41" s="18" t="s">
        <v>31</v>
      </c>
      <c r="H41" s="18" t="s">
        <v>179</v>
      </c>
      <c r="I41" s="80" t="s">
        <v>111</v>
      </c>
      <c r="J41" s="80"/>
      <c r="K41" s="18" t="s">
        <v>17</v>
      </c>
      <c r="L41" s="18" t="s">
        <v>0</v>
      </c>
      <c r="M41" s="80"/>
    </row>
    <row r="42" spans="2:13" x14ac:dyDescent="0.25">
      <c r="B42" s="34" t="s">
        <v>158</v>
      </c>
      <c r="C42" s="81"/>
      <c r="D42" s="114">
        <f>INDEX('Measure Assumptions'!$O$3:$O$47,MATCH('Submission Form'!$B42,'Measure Assumptions'!$D$3:$D$47,0),0)</f>
        <v>1.9299999999999998E-2</v>
      </c>
      <c r="E42" s="83">
        <f>INDEX('Measure Assumptions'!$Q$3:$Q$47,MATCH('Submission Form'!$B42,'Measure Assumptions'!$D$3:$D$47,0),0)</f>
        <v>10</v>
      </c>
      <c r="F42" s="84" t="s">
        <v>30</v>
      </c>
      <c r="G42" s="48"/>
      <c r="H42" s="49"/>
      <c r="I42" s="143"/>
      <c r="K42" s="115">
        <f t="shared" ref="K42:K45" si="7">D42*G42</f>
        <v>0</v>
      </c>
      <c r="L42" s="116">
        <f t="shared" ref="L42:L45" si="8">ROUND(MIN((G42*E42),(0.5*(H42*G42))),2)</f>
        <v>0</v>
      </c>
      <c r="M42" s="117"/>
    </row>
    <row r="43" spans="2:13" x14ac:dyDescent="0.25">
      <c r="B43" s="35" t="s">
        <v>155</v>
      </c>
      <c r="C43" s="81"/>
      <c r="D43" s="114">
        <f>INDEX('Measure Assumptions'!$O$3:$O$47,MATCH('Submission Form'!$B43,'Measure Assumptions'!$D$3:$D$47,0),0)</f>
        <v>1.4999999999999999E-2</v>
      </c>
      <c r="E43" s="83">
        <f>INDEX('Measure Assumptions'!$Q$3:$Q$47,MATCH('Submission Form'!$B43,'Measure Assumptions'!$D$3:$D$47,0),0)</f>
        <v>10</v>
      </c>
      <c r="F43" s="84" t="s">
        <v>30</v>
      </c>
      <c r="G43" s="48"/>
      <c r="H43" s="49"/>
      <c r="I43" s="143"/>
      <c r="K43" s="115">
        <f t="shared" si="7"/>
        <v>0</v>
      </c>
      <c r="L43" s="116">
        <f t="shared" si="8"/>
        <v>0</v>
      </c>
      <c r="M43" s="117"/>
    </row>
    <row r="44" spans="2:13" x14ac:dyDescent="0.25">
      <c r="B44" s="35" t="s">
        <v>156</v>
      </c>
      <c r="C44" s="81"/>
      <c r="D44" s="114">
        <f>INDEX('Measure Assumptions'!$O$3:$O$47,MATCH('Submission Form'!$B44,'Measure Assumptions'!$D$3:$D$47,0),0)</f>
        <v>2.2090000000000002E-2</v>
      </c>
      <c r="E44" s="83">
        <f>INDEX('Measure Assumptions'!$Q$3:$Q$47,MATCH('Submission Form'!$B44,'Measure Assumptions'!$D$3:$D$47,0),0)</f>
        <v>10</v>
      </c>
      <c r="F44" s="84" t="s">
        <v>30</v>
      </c>
      <c r="G44" s="48"/>
      <c r="H44" s="49"/>
      <c r="I44" s="143"/>
      <c r="K44" s="115">
        <f t="shared" si="7"/>
        <v>0</v>
      </c>
      <c r="L44" s="116">
        <f t="shared" si="8"/>
        <v>0</v>
      </c>
      <c r="M44" s="117"/>
    </row>
    <row r="45" spans="2:13" x14ac:dyDescent="0.25">
      <c r="B45" s="35" t="s">
        <v>157</v>
      </c>
      <c r="C45" s="81"/>
      <c r="D45" s="114">
        <f>INDEX('Measure Assumptions'!$O$3:$O$47,MATCH('Submission Form'!$B45,'Measure Assumptions'!$D$3:$D$47,0),0)</f>
        <v>6.8400000000000002E-2</v>
      </c>
      <c r="E45" s="83">
        <f>INDEX('Measure Assumptions'!$Q$3:$Q$47,MATCH('Submission Form'!$B45,'Measure Assumptions'!$D$3:$D$47,0),0)</f>
        <v>17</v>
      </c>
      <c r="F45" s="84" t="s">
        <v>30</v>
      </c>
      <c r="G45" s="48"/>
      <c r="H45" s="49"/>
      <c r="I45" s="143"/>
      <c r="K45" s="115">
        <f t="shared" si="7"/>
        <v>0</v>
      </c>
      <c r="L45" s="116">
        <f t="shared" si="8"/>
        <v>0</v>
      </c>
      <c r="M45" s="117"/>
    </row>
    <row r="46" spans="2:13" x14ac:dyDescent="0.25">
      <c r="B46" s="35" t="s">
        <v>173</v>
      </c>
      <c r="C46" s="81"/>
      <c r="D46" s="114">
        <f>INDEX('Measure Assumptions'!$O$3:$O$47,MATCH('Submission Form'!$B46,'Measure Assumptions'!$D$3:$D$47,0),0)</f>
        <v>6.0999999999999999E-2</v>
      </c>
      <c r="E46" s="83">
        <f>INDEX('Measure Assumptions'!$Q$3:$Q$47,MATCH('Submission Form'!$B46,'Measure Assumptions'!$D$3:$D$47,0),0)</f>
        <v>21</v>
      </c>
      <c r="F46" s="84" t="s">
        <v>30</v>
      </c>
      <c r="G46" s="48"/>
      <c r="H46" s="49"/>
      <c r="I46" s="143"/>
      <c r="K46" s="115">
        <f t="shared" ref="K46" si="9">D46*G46</f>
        <v>0</v>
      </c>
      <c r="L46" s="116">
        <f t="shared" ref="L46" si="10">ROUND(MIN((G46*E46),(0.5*(H46*G46))),2)</f>
        <v>0</v>
      </c>
      <c r="M46" s="117"/>
    </row>
    <row r="47" spans="2:13" x14ac:dyDescent="0.25">
      <c r="B47" s="34" t="s">
        <v>160</v>
      </c>
      <c r="C47" s="81"/>
      <c r="D47" s="114">
        <f>INDEX('Measure Assumptions'!$O$3:$O$47,MATCH('Submission Form'!$B47,'Measure Assumptions'!$D$3:$D$47,0),0)</f>
        <v>5.534E-2</v>
      </c>
      <c r="E47" s="83">
        <f>INDEX('Measure Assumptions'!$Q$3:$Q$47,MATCH('Submission Form'!$B47,'Measure Assumptions'!$D$3:$D$47,0),0)</f>
        <v>14</v>
      </c>
      <c r="F47" s="84" t="s">
        <v>30</v>
      </c>
      <c r="G47" s="48"/>
      <c r="H47" s="49"/>
      <c r="I47" s="143"/>
      <c r="K47" s="115">
        <f t="shared" ref="K47:K48" si="11">D47*G47</f>
        <v>0</v>
      </c>
      <c r="L47" s="116">
        <f t="shared" ref="L47:L54" si="12">ROUND(MIN((G47*E47),(0.5*(H47*G47))),2)</f>
        <v>0</v>
      </c>
      <c r="M47" s="117"/>
    </row>
    <row r="48" spans="2:13" x14ac:dyDescent="0.25">
      <c r="B48" s="34" t="s">
        <v>159</v>
      </c>
      <c r="C48" s="81"/>
      <c r="D48" s="114">
        <f>INDEX('Measure Assumptions'!$O$3:$O$47,MATCH('Submission Form'!$B48,'Measure Assumptions'!$D$3:$D$47,0),0)</f>
        <v>0.20357</v>
      </c>
      <c r="E48" s="83">
        <f>INDEX('Measure Assumptions'!$Q$3:$Q$47,MATCH('Submission Form'!$B48,'Measure Assumptions'!$D$3:$D$47,0),0)</f>
        <v>51</v>
      </c>
      <c r="F48" s="84" t="s">
        <v>30</v>
      </c>
      <c r="G48" s="48"/>
      <c r="H48" s="49"/>
      <c r="I48" s="143"/>
      <c r="K48" s="115">
        <f t="shared" si="11"/>
        <v>0</v>
      </c>
      <c r="L48" s="116">
        <f t="shared" si="12"/>
        <v>0</v>
      </c>
      <c r="M48" s="117"/>
    </row>
    <row r="49" spans="2:13" x14ac:dyDescent="0.25">
      <c r="B49" s="34" t="s">
        <v>163</v>
      </c>
      <c r="C49" s="81"/>
      <c r="D49" s="114">
        <f>INDEX('Measure Assumptions'!$O$3:$O$47,MATCH('Submission Form'!$B49,'Measure Assumptions'!$D$3:$D$47,0),0)</f>
        <v>0.1799</v>
      </c>
      <c r="E49" s="83">
        <f>INDEX('Measure Assumptions'!$Q$3:$Q$47,MATCH('Submission Form'!$B49,'Measure Assumptions'!$D$3:$D$47,0),0)</f>
        <v>45</v>
      </c>
      <c r="F49" s="84" t="s">
        <v>30</v>
      </c>
      <c r="G49" s="48"/>
      <c r="H49" s="49"/>
      <c r="I49" s="143"/>
      <c r="K49" s="115">
        <f>D49*G49</f>
        <v>0</v>
      </c>
      <c r="L49" s="116">
        <f t="shared" si="12"/>
        <v>0</v>
      </c>
      <c r="M49" s="117"/>
    </row>
    <row r="50" spans="2:13" x14ac:dyDescent="0.25">
      <c r="B50" s="34" t="s">
        <v>164</v>
      </c>
      <c r="C50" s="88"/>
      <c r="D50" s="114">
        <f>INDEX('Measure Assumptions'!$O$3:$O$47,MATCH('Submission Form'!$B50,'Measure Assumptions'!$D$3:$D$47,0),0)</f>
        <v>0.245</v>
      </c>
      <c r="E50" s="83">
        <f>INDEX('Measure Assumptions'!$Q$3:$Q$47,MATCH('Submission Form'!$B50,'Measure Assumptions'!$D$3:$D$47,0),0)</f>
        <v>70</v>
      </c>
      <c r="F50" s="89" t="s">
        <v>30</v>
      </c>
      <c r="G50" s="48"/>
      <c r="H50" s="49"/>
      <c r="I50" s="143"/>
      <c r="K50" s="115">
        <f>D50*G50</f>
        <v>0</v>
      </c>
      <c r="L50" s="116">
        <f t="shared" si="12"/>
        <v>0</v>
      </c>
      <c r="M50" s="117"/>
    </row>
    <row r="51" spans="2:13" x14ac:dyDescent="0.25">
      <c r="B51" s="34" t="s">
        <v>165</v>
      </c>
      <c r="C51" s="81"/>
      <c r="D51" s="114">
        <f>INDEX('Measure Assumptions'!$O$3:$O$47,MATCH('Submission Form'!$B51,'Measure Assumptions'!$D$3:$D$47,0),0)</f>
        <v>7.8299999999999995E-2</v>
      </c>
      <c r="E51" s="83">
        <f>INDEX('Measure Assumptions'!$Q$3:$Q$47,MATCH('Submission Form'!$B51,'Measure Assumptions'!$D$3:$D$47,0),0)</f>
        <v>20</v>
      </c>
      <c r="F51" s="118" t="s">
        <v>30</v>
      </c>
      <c r="G51" s="52"/>
      <c r="H51" s="49"/>
      <c r="I51" s="143"/>
      <c r="K51" s="115">
        <f t="shared" ref="K51:K54" si="13">D51*G51</f>
        <v>0</v>
      </c>
      <c r="L51" s="116">
        <f t="shared" si="12"/>
        <v>0</v>
      </c>
      <c r="M51" s="117"/>
    </row>
    <row r="52" spans="2:13" x14ac:dyDescent="0.25">
      <c r="B52" s="34" t="s">
        <v>166</v>
      </c>
      <c r="C52" s="91"/>
      <c r="D52" s="114">
        <f>INDEX('Measure Assumptions'!$O$3:$O$47,MATCH('Submission Form'!$B52,'Measure Assumptions'!$D$3:$D$47,0),0)</f>
        <v>0.24100000000000002</v>
      </c>
      <c r="E52" s="83">
        <f>INDEX('Measure Assumptions'!$Q$3:$Q$47,MATCH('Submission Form'!$B52,'Measure Assumptions'!$D$3:$D$47,0),0)</f>
        <v>60</v>
      </c>
      <c r="F52" s="119" t="s">
        <v>30</v>
      </c>
      <c r="G52" s="52"/>
      <c r="H52" s="49"/>
      <c r="I52" s="143"/>
      <c r="K52" s="115">
        <f t="shared" ref="K52" si="14">D52*G52</f>
        <v>0</v>
      </c>
      <c r="L52" s="116">
        <f t="shared" si="12"/>
        <v>0</v>
      </c>
      <c r="M52" s="117"/>
    </row>
    <row r="53" spans="2:13" x14ac:dyDescent="0.25">
      <c r="B53" s="34" t="s">
        <v>167</v>
      </c>
      <c r="C53" s="91"/>
      <c r="D53" s="114">
        <f>INDEX('Measure Assumptions'!$O$3:$O$47,MATCH('Submission Form'!$B53,'Measure Assumptions'!$D$3:$D$47,0),0)</f>
        <v>0.08</v>
      </c>
      <c r="E53" s="83">
        <f>INDEX('Measure Assumptions'!$Q$3:$Q$47,MATCH('Submission Form'!$B53,'Measure Assumptions'!$D$3:$D$47,0),0)</f>
        <v>20</v>
      </c>
      <c r="F53" s="120" t="s">
        <v>30</v>
      </c>
      <c r="G53" s="48"/>
      <c r="H53" s="49"/>
      <c r="I53" s="143"/>
      <c r="K53" s="115">
        <f t="shared" si="13"/>
        <v>0</v>
      </c>
      <c r="L53" s="116">
        <f t="shared" si="12"/>
        <v>0</v>
      </c>
      <c r="M53" s="117"/>
    </row>
    <row r="54" spans="2:13" x14ac:dyDescent="0.25">
      <c r="B54" s="34" t="s">
        <v>57</v>
      </c>
      <c r="C54" s="81"/>
      <c r="D54" s="114">
        <f>INDEX('Measure Assumptions'!$O$3:$O$47,MATCH('Submission Form'!$B54,'Measure Assumptions'!$D$3:$D$47,0),0)</f>
        <v>0.22559999999999999</v>
      </c>
      <c r="E54" s="83">
        <f>INDEX('Measure Assumptions'!$Q$3:$Q$47,MATCH('Submission Form'!$B54,'Measure Assumptions'!$D$3:$D$47,0),0)</f>
        <v>56</v>
      </c>
      <c r="F54" s="84" t="s">
        <v>30</v>
      </c>
      <c r="G54" s="48"/>
      <c r="H54" s="49"/>
      <c r="I54" s="143"/>
      <c r="K54" s="115">
        <f t="shared" si="13"/>
        <v>0</v>
      </c>
      <c r="L54" s="116">
        <f t="shared" si="12"/>
        <v>0</v>
      </c>
      <c r="M54" s="117"/>
    </row>
    <row r="55" spans="2:13" ht="4.9000000000000004" customHeight="1" x14ac:dyDescent="0.25"/>
    <row r="56" spans="2:13" ht="22.5" customHeight="1" x14ac:dyDescent="0.25">
      <c r="C56" s="148" t="s">
        <v>212</v>
      </c>
      <c r="D56" s="144"/>
      <c r="E56" s="83"/>
      <c r="F56" s="84"/>
      <c r="G56" s="145"/>
      <c r="H56" s="146"/>
      <c r="I56" s="145"/>
      <c r="J56" s="81"/>
      <c r="K56" s="147"/>
      <c r="L56" s="116"/>
      <c r="M56" s="117"/>
    </row>
    <row r="57" spans="2:13" ht="4.9000000000000004" customHeight="1" x14ac:dyDescent="0.25"/>
    <row r="58" spans="2:13" ht="4.9000000000000004" customHeight="1" x14ac:dyDescent="0.25"/>
    <row r="59" spans="2:13" x14ac:dyDescent="0.25">
      <c r="B59" s="75" t="s">
        <v>151</v>
      </c>
      <c r="C59" s="76"/>
      <c r="D59" s="76"/>
      <c r="E59" s="76"/>
      <c r="F59" s="76"/>
      <c r="G59" s="77"/>
      <c r="H59" s="77"/>
      <c r="I59" s="77"/>
      <c r="J59" s="77"/>
      <c r="K59" s="77"/>
      <c r="L59" s="77"/>
      <c r="M59" s="77"/>
    </row>
    <row r="60" spans="2:13" ht="60" x14ac:dyDescent="0.25">
      <c r="B60" s="79" t="s">
        <v>23</v>
      </c>
      <c r="C60" s="79"/>
      <c r="D60" s="18" t="s">
        <v>33</v>
      </c>
      <c r="E60" s="18" t="s">
        <v>32</v>
      </c>
      <c r="F60" s="20"/>
      <c r="G60" s="18" t="s">
        <v>31</v>
      </c>
      <c r="H60" s="18" t="s">
        <v>179</v>
      </c>
      <c r="I60" s="80" t="s">
        <v>111</v>
      </c>
      <c r="J60" s="80"/>
      <c r="K60" s="18" t="s">
        <v>17</v>
      </c>
      <c r="L60" s="18" t="s">
        <v>0</v>
      </c>
      <c r="M60" s="80"/>
    </row>
    <row r="61" spans="2:13" x14ac:dyDescent="0.25">
      <c r="B61" s="34" t="s">
        <v>168</v>
      </c>
      <c r="C61" s="81"/>
      <c r="D61" s="114">
        <f>INDEX('Measure Assumptions'!$O$3:$O$47,MATCH('Submission Form'!$B61,'Measure Assumptions'!$D$3:$D$47,0),0)</f>
        <v>0.46</v>
      </c>
      <c r="E61" s="83">
        <f>INDEX('Measure Assumptions'!$Q$3:$Q$47,MATCH('Submission Form'!$B61,'Measure Assumptions'!$D$3:$D$47,0),0)</f>
        <v>125</v>
      </c>
      <c r="F61" s="84" t="s">
        <v>30</v>
      </c>
      <c r="G61" s="48"/>
      <c r="H61" s="49"/>
      <c r="I61" s="143"/>
      <c r="K61" s="115">
        <f>D61*G61</f>
        <v>0</v>
      </c>
      <c r="L61" s="116">
        <f>ROUND(MIN((G61*E61),(0.5*(H61*G61))),2)</f>
        <v>0</v>
      </c>
      <c r="M61" s="117"/>
    </row>
    <row r="62" spans="2:13" ht="4.9000000000000004" customHeight="1" x14ac:dyDescent="0.25"/>
    <row r="63" spans="2:13" ht="22.5" customHeight="1" x14ac:dyDescent="0.25">
      <c r="C63" s="148" t="s">
        <v>212</v>
      </c>
      <c r="D63" s="144"/>
      <c r="E63" s="83"/>
      <c r="F63" s="84"/>
      <c r="G63" s="145"/>
      <c r="H63" s="146"/>
      <c r="I63" s="145"/>
      <c r="J63" s="81"/>
      <c r="K63" s="147"/>
      <c r="L63" s="116"/>
      <c r="M63" s="117"/>
    </row>
    <row r="64" spans="2:13" ht="4.9000000000000004" customHeight="1" x14ac:dyDescent="0.25"/>
    <row r="65" spans="2:13" x14ac:dyDescent="0.25">
      <c r="B65" s="75" t="s">
        <v>27</v>
      </c>
      <c r="C65" s="76"/>
      <c r="D65" s="76"/>
      <c r="E65" s="76"/>
      <c r="F65" s="76"/>
      <c r="G65" s="77"/>
      <c r="H65" s="77"/>
      <c r="I65" s="77"/>
      <c r="J65" s="77"/>
      <c r="K65" s="77"/>
      <c r="L65" s="77"/>
      <c r="M65" s="77"/>
    </row>
    <row r="66" spans="2:13" ht="60" x14ac:dyDescent="0.25">
      <c r="B66" s="79" t="s">
        <v>23</v>
      </c>
      <c r="C66" s="79"/>
      <c r="D66" s="18" t="s">
        <v>33</v>
      </c>
      <c r="E66" s="18" t="s">
        <v>32</v>
      </c>
      <c r="F66" s="20"/>
      <c r="G66" s="18" t="s">
        <v>31</v>
      </c>
      <c r="H66" s="18" t="s">
        <v>179</v>
      </c>
      <c r="I66" s="80" t="s">
        <v>111</v>
      </c>
      <c r="J66" s="80"/>
      <c r="K66" s="18" t="s">
        <v>17</v>
      </c>
      <c r="L66" s="18" t="s">
        <v>0</v>
      </c>
      <c r="M66" s="80"/>
    </row>
    <row r="67" spans="2:13" x14ac:dyDescent="0.25">
      <c r="B67" s="33" t="s">
        <v>24</v>
      </c>
      <c r="C67" s="81"/>
      <c r="D67" s="114">
        <f>INDEX('Measure Assumptions'!$O$3:$O$47,MATCH('Submission Form'!$B67,'Measure Assumptions'!$D$3:$D$47,0),0)</f>
        <v>2.7E-2</v>
      </c>
      <c r="E67" s="83">
        <f>INDEX('Measure Assumptions'!$Q$3:$Q$47,MATCH('Submission Form'!$B67,'Measure Assumptions'!$D$3:$D$47,0),0)</f>
        <v>7</v>
      </c>
      <c r="F67" s="84" t="s">
        <v>30</v>
      </c>
      <c r="G67" s="48"/>
      <c r="H67" s="49"/>
      <c r="I67" s="143"/>
      <c r="K67" s="115">
        <f t="shared" ref="K67:K68" si="15">D67*G67</f>
        <v>0</v>
      </c>
      <c r="L67" s="116">
        <f>ROUND(MIN((G67*E67),(0.5*(H67*G67))),2)</f>
        <v>0</v>
      </c>
      <c r="M67" s="117"/>
    </row>
    <row r="68" spans="2:13" x14ac:dyDescent="0.25">
      <c r="B68" s="33" t="s">
        <v>119</v>
      </c>
      <c r="C68" s="81"/>
      <c r="D68" s="114">
        <f>INDEX('Measure Assumptions'!$O$3:$O$47,MATCH('Submission Form'!$B68,'Measure Assumptions'!$D$3:$D$47,0),0)</f>
        <v>0.06</v>
      </c>
      <c r="E68" s="83">
        <f>INDEX('Measure Assumptions'!$Q$3:$Q$47,MATCH('Submission Form'!$B68,'Measure Assumptions'!$D$3:$D$47,0),0)</f>
        <v>15</v>
      </c>
      <c r="F68" s="84" t="s">
        <v>30</v>
      </c>
      <c r="G68" s="48"/>
      <c r="H68" s="49"/>
      <c r="I68" s="143"/>
      <c r="K68" s="115">
        <f t="shared" si="15"/>
        <v>0</v>
      </c>
      <c r="L68" s="116">
        <f>ROUND(MIN((G68*E68),(0.5*(H68*G68))),2)</f>
        <v>0</v>
      </c>
      <c r="M68" s="117"/>
    </row>
    <row r="69" spans="2:13" ht="2.65" customHeight="1" x14ac:dyDescent="0.25"/>
    <row r="70" spans="2:13" ht="14.45" customHeight="1" x14ac:dyDescent="0.25"/>
    <row r="71" spans="2:13" ht="14.45" customHeight="1" x14ac:dyDescent="0.25">
      <c r="H71" s="121" t="s">
        <v>216</v>
      </c>
      <c r="I71" s="122"/>
      <c r="J71" s="122"/>
      <c r="K71" s="123"/>
    </row>
    <row r="72" spans="2:13" x14ac:dyDescent="0.25">
      <c r="B72" s="124"/>
      <c r="H72" s="125" t="s">
        <v>35</v>
      </c>
      <c r="I72" s="126"/>
      <c r="J72" s="127"/>
      <c r="K72" s="128">
        <f>SUM(K26:K36,K42:K54,K67:K68,K61)</f>
        <v>0</v>
      </c>
    </row>
    <row r="73" spans="2:13" x14ac:dyDescent="0.25">
      <c r="B73" s="124"/>
      <c r="H73" s="129" t="s">
        <v>36</v>
      </c>
      <c r="I73" s="130"/>
      <c r="J73" s="131"/>
      <c r="K73" s="132">
        <f>MIN(SUM(L26:L36,L42:L54,L61,L67:L68),20000)</f>
        <v>0</v>
      </c>
    </row>
    <row r="74" spans="2:13" ht="14.45" customHeight="1" x14ac:dyDescent="0.25"/>
    <row r="75" spans="2:13" x14ac:dyDescent="0.25">
      <c r="B75" s="75" t="s">
        <v>130</v>
      </c>
      <c r="C75" s="76"/>
      <c r="D75" s="76"/>
      <c r="E75" s="76"/>
      <c r="F75" s="76"/>
      <c r="G75" s="77"/>
      <c r="H75" s="77"/>
      <c r="I75" s="77"/>
      <c r="J75" s="77"/>
      <c r="K75" s="77"/>
      <c r="L75" s="77"/>
      <c r="M75" s="77"/>
    </row>
    <row r="76" spans="2:13" ht="60" x14ac:dyDescent="0.25">
      <c r="B76" s="79" t="s">
        <v>23</v>
      </c>
      <c r="C76" s="79"/>
      <c r="D76" s="18" t="s">
        <v>33</v>
      </c>
      <c r="E76" s="18" t="s">
        <v>32</v>
      </c>
      <c r="F76" s="20"/>
      <c r="G76" s="18" t="s">
        <v>31</v>
      </c>
      <c r="H76" s="18" t="s">
        <v>179</v>
      </c>
      <c r="I76" s="80" t="s">
        <v>111</v>
      </c>
      <c r="J76" s="80"/>
      <c r="K76" s="18" t="s">
        <v>17</v>
      </c>
      <c r="L76" s="18" t="s">
        <v>0</v>
      </c>
      <c r="M76" s="80"/>
    </row>
    <row r="77" spans="2:13" x14ac:dyDescent="0.25">
      <c r="B77" s="35" t="s">
        <v>133</v>
      </c>
      <c r="C77" s="81"/>
      <c r="D77" s="114">
        <f>INDEX('Measure Assumptions'!$O$3:$O$47,MATCH('Submission Form'!$B77,'Measure Assumptions'!$D$3:$D$47,0),0)</f>
        <v>0.24</v>
      </c>
      <c r="E77" s="83">
        <f>INDEX('Measure Assumptions'!$Q$3:$Q$47,MATCH('Submission Form'!$B77,'Measure Assumptions'!$D$3:$D$47,0),0)</f>
        <v>60</v>
      </c>
      <c r="F77" s="84" t="s">
        <v>30</v>
      </c>
      <c r="G77" s="48"/>
      <c r="H77" s="49"/>
      <c r="I77" s="143"/>
      <c r="K77" s="115">
        <f>D77*G77</f>
        <v>0</v>
      </c>
      <c r="L77" s="116">
        <f>ROUND(MIN((G77*E77),(0.5*(H77*G77))),2)</f>
        <v>0</v>
      </c>
      <c r="M77" s="117"/>
    </row>
    <row r="78" spans="2:13" x14ac:dyDescent="0.25">
      <c r="B78" s="35" t="s">
        <v>132</v>
      </c>
      <c r="C78" s="81"/>
      <c r="D78" s="114">
        <f>INDEX('Measure Assumptions'!$O$3:$O$47,MATCH('Submission Form'!$B78,'Measure Assumptions'!$D$3:$D$47,0),0)</f>
        <v>0.04</v>
      </c>
      <c r="E78" s="83">
        <f>INDEX('Measure Assumptions'!$Q$3:$Q$47,MATCH('Submission Form'!$B78,'Measure Assumptions'!$D$3:$D$47,0),0)</f>
        <v>10</v>
      </c>
      <c r="F78" s="84" t="s">
        <v>30</v>
      </c>
      <c r="G78" s="48"/>
      <c r="H78" s="49"/>
      <c r="I78" s="143"/>
      <c r="K78" s="115">
        <f>D78*G78</f>
        <v>0</v>
      </c>
      <c r="L78" s="116">
        <f>ROUND(MIN((G78*E78),(0.5*(H78*G78))),2)</f>
        <v>0</v>
      </c>
      <c r="M78" s="117"/>
    </row>
    <row r="79" spans="2:13" ht="4.9000000000000004" customHeight="1" x14ac:dyDescent="0.25"/>
    <row r="80" spans="2:13" ht="22.5" customHeight="1" x14ac:dyDescent="0.25">
      <c r="C80" s="148" t="s">
        <v>212</v>
      </c>
      <c r="D80" s="144"/>
      <c r="E80" s="83"/>
      <c r="F80" s="84"/>
      <c r="G80" s="145"/>
      <c r="H80" s="146"/>
      <c r="I80" s="145"/>
      <c r="J80" s="81"/>
      <c r="K80" s="147"/>
      <c r="L80" s="116"/>
      <c r="M80" s="117"/>
    </row>
    <row r="81" spans="2:13" ht="4.9000000000000004" customHeight="1" x14ac:dyDescent="0.25"/>
    <row r="82" spans="2:13" ht="14.45" customHeight="1" x14ac:dyDescent="0.25"/>
    <row r="83" spans="2:13" ht="14.45" customHeight="1" x14ac:dyDescent="0.25">
      <c r="H83" s="121" t="s">
        <v>134</v>
      </c>
      <c r="I83" s="122"/>
      <c r="J83" s="122"/>
      <c r="K83" s="123"/>
    </row>
    <row r="84" spans="2:13" x14ac:dyDescent="0.25">
      <c r="B84" s="124"/>
      <c r="H84" s="125" t="s">
        <v>35</v>
      </c>
      <c r="I84" s="126"/>
      <c r="J84" s="127"/>
      <c r="K84" s="128">
        <f>SUM(K77:K78)</f>
        <v>0</v>
      </c>
    </row>
    <row r="85" spans="2:13" x14ac:dyDescent="0.25">
      <c r="B85" s="124"/>
      <c r="H85" s="129" t="s">
        <v>36</v>
      </c>
      <c r="I85" s="130"/>
      <c r="J85" s="131"/>
      <c r="K85" s="132">
        <f>MIN(SUM(L77:L78),3000)</f>
        <v>0</v>
      </c>
    </row>
    <row r="86" spans="2:13" ht="14.45" customHeight="1" x14ac:dyDescent="0.25"/>
    <row r="87" spans="2:13" x14ac:dyDescent="0.25">
      <c r="B87" s="75" t="s">
        <v>135</v>
      </c>
      <c r="C87" s="76"/>
      <c r="D87" s="76"/>
      <c r="E87" s="76"/>
      <c r="F87" s="76"/>
      <c r="G87" s="77"/>
      <c r="H87" s="77"/>
      <c r="I87" s="77"/>
      <c r="J87" s="77"/>
      <c r="K87" s="77"/>
      <c r="L87" s="77"/>
      <c r="M87" s="77"/>
    </row>
    <row r="88" spans="2:13" ht="60" x14ac:dyDescent="0.25">
      <c r="B88" s="79" t="s">
        <v>23</v>
      </c>
      <c r="C88" s="79"/>
      <c r="D88" s="18" t="s">
        <v>33</v>
      </c>
      <c r="E88" s="18" t="s">
        <v>32</v>
      </c>
      <c r="F88" s="20"/>
      <c r="G88" s="18" t="s">
        <v>31</v>
      </c>
      <c r="H88" s="18" t="s">
        <v>179</v>
      </c>
      <c r="I88" s="80" t="s">
        <v>111</v>
      </c>
      <c r="J88" s="80"/>
      <c r="K88" s="18" t="s">
        <v>17</v>
      </c>
      <c r="L88" s="18" t="s">
        <v>0</v>
      </c>
      <c r="M88" s="80"/>
    </row>
    <row r="89" spans="2:13" x14ac:dyDescent="0.25">
      <c r="B89" s="35" t="s">
        <v>136</v>
      </c>
      <c r="C89" s="81"/>
      <c r="D89" s="114">
        <f>INDEX('Measure Assumptions'!$O$3:$O$47,MATCH('Submission Form'!$B89,'Measure Assumptions'!$D$3:$D$47,0),0)</f>
        <v>1.9</v>
      </c>
      <c r="E89" s="83">
        <f>INDEX('Measure Assumptions'!$Q$3:$Q$47,MATCH('Submission Form'!$B89,'Measure Assumptions'!$D$3:$D$47,0),0)</f>
        <v>475</v>
      </c>
      <c r="F89" s="84" t="s">
        <v>30</v>
      </c>
      <c r="G89" s="48"/>
      <c r="H89" s="49"/>
      <c r="I89" s="143"/>
      <c r="K89" s="115">
        <f>D89*G89</f>
        <v>0</v>
      </c>
      <c r="L89" s="116">
        <f>ROUND(MIN((G89*E89),(0.25*(H89*G89))),2)</f>
        <v>0</v>
      </c>
      <c r="M89" s="117"/>
    </row>
    <row r="90" spans="2:13" x14ac:dyDescent="0.25">
      <c r="B90" s="35" t="s">
        <v>137</v>
      </c>
      <c r="C90" s="81"/>
      <c r="D90" s="114">
        <f>INDEX('Measure Assumptions'!$O$3:$O$47,MATCH('Submission Form'!$B90,'Measure Assumptions'!$D$3:$D$47,0),0)</f>
        <v>0.8</v>
      </c>
      <c r="E90" s="83">
        <f>INDEX('Measure Assumptions'!$Q$3:$Q$47,MATCH('Submission Form'!$B90,'Measure Assumptions'!$D$3:$D$47,0),0)</f>
        <v>200</v>
      </c>
      <c r="F90" s="84" t="s">
        <v>30</v>
      </c>
      <c r="G90" s="48"/>
      <c r="H90" s="49"/>
      <c r="I90" s="143"/>
      <c r="K90" s="115">
        <f t="shared" ref="K90:K94" si="16">D90*G90</f>
        <v>0</v>
      </c>
      <c r="L90" s="116">
        <f t="shared" ref="L90:L94" si="17">ROUND(MIN((G90*E90),(0.25*(H90*G90))),2)</f>
        <v>0</v>
      </c>
      <c r="M90" s="117"/>
    </row>
    <row r="91" spans="2:13" x14ac:dyDescent="0.25">
      <c r="B91" s="34" t="s">
        <v>138</v>
      </c>
      <c r="C91" s="81"/>
      <c r="D91" s="114">
        <f>INDEX('Measure Assumptions'!$O$3:$O$47,MATCH('Submission Form'!$B91,'Measure Assumptions'!$D$3:$D$47,0),0)</f>
        <v>0.52</v>
      </c>
      <c r="E91" s="83">
        <f>INDEX('Measure Assumptions'!$Q$3:$Q$47,MATCH('Submission Form'!$B91,'Measure Assumptions'!$D$3:$D$47,0),0)</f>
        <v>130</v>
      </c>
      <c r="F91" s="84" t="s">
        <v>30</v>
      </c>
      <c r="G91" s="48"/>
      <c r="H91" s="49"/>
      <c r="I91" s="143"/>
      <c r="K91" s="115">
        <f t="shared" si="16"/>
        <v>0</v>
      </c>
      <c r="L91" s="116">
        <f t="shared" si="17"/>
        <v>0</v>
      </c>
      <c r="M91" s="117"/>
    </row>
    <row r="92" spans="2:13" x14ac:dyDescent="0.25">
      <c r="B92" s="34" t="s">
        <v>139</v>
      </c>
      <c r="C92" s="81"/>
      <c r="D92" s="114">
        <f>INDEX('Measure Assumptions'!$O$3:$O$47,MATCH('Submission Form'!$B92,'Measure Assumptions'!$D$3:$D$47,0),0)</f>
        <v>0.32</v>
      </c>
      <c r="E92" s="83">
        <f>INDEX('Measure Assumptions'!$Q$3:$Q$47,MATCH('Submission Form'!$B92,'Measure Assumptions'!$D$3:$D$47,0),0)</f>
        <v>80</v>
      </c>
      <c r="F92" s="84" t="s">
        <v>30</v>
      </c>
      <c r="G92" s="48"/>
      <c r="H92" s="49"/>
      <c r="I92" s="143"/>
      <c r="K92" s="115">
        <f t="shared" si="16"/>
        <v>0</v>
      </c>
      <c r="L92" s="116">
        <f t="shared" si="17"/>
        <v>0</v>
      </c>
      <c r="M92" s="117"/>
    </row>
    <row r="93" spans="2:13" x14ac:dyDescent="0.25">
      <c r="B93" s="34" t="s">
        <v>140</v>
      </c>
      <c r="C93" s="81"/>
      <c r="D93" s="114">
        <f>INDEX('Measure Assumptions'!$O$3:$O$47,MATCH('Submission Form'!$B93,'Measure Assumptions'!$D$3:$D$47,0),0)</f>
        <v>0.22</v>
      </c>
      <c r="E93" s="83">
        <f>INDEX('Measure Assumptions'!$Q$3:$Q$47,MATCH('Submission Form'!$B93,'Measure Assumptions'!$D$3:$D$47,0),0)</f>
        <v>55</v>
      </c>
      <c r="F93" s="84" t="s">
        <v>30</v>
      </c>
      <c r="G93" s="48"/>
      <c r="H93" s="49"/>
      <c r="I93" s="143"/>
      <c r="K93" s="115">
        <f t="shared" si="16"/>
        <v>0</v>
      </c>
      <c r="L93" s="116">
        <f t="shared" si="17"/>
        <v>0</v>
      </c>
      <c r="M93" s="117"/>
    </row>
    <row r="94" spans="2:13" x14ac:dyDescent="0.25">
      <c r="B94" s="34" t="s">
        <v>141</v>
      </c>
      <c r="C94" s="81"/>
      <c r="D94" s="114">
        <f>INDEX('Measure Assumptions'!$O$3:$O$47,MATCH('Submission Form'!$B94,'Measure Assumptions'!$D$3:$D$47,0),0)</f>
        <v>0.17599999999999999</v>
      </c>
      <c r="E94" s="83">
        <f>INDEX('Measure Assumptions'!$Q$3:$Q$47,MATCH('Submission Form'!$B94,'Measure Assumptions'!$D$3:$D$47,0),0)</f>
        <v>44</v>
      </c>
      <c r="F94" s="84" t="s">
        <v>30</v>
      </c>
      <c r="G94" s="48"/>
      <c r="H94" s="49"/>
      <c r="I94" s="143"/>
      <c r="K94" s="115">
        <f t="shared" si="16"/>
        <v>0</v>
      </c>
      <c r="L94" s="116">
        <f t="shared" si="17"/>
        <v>0</v>
      </c>
      <c r="M94" s="117"/>
    </row>
    <row r="95" spans="2:13" ht="4.9000000000000004" customHeight="1" x14ac:dyDescent="0.25"/>
    <row r="96" spans="2:13" ht="22.5" customHeight="1" x14ac:dyDescent="0.25">
      <c r="C96" s="148" t="s">
        <v>212</v>
      </c>
      <c r="D96" s="144"/>
      <c r="E96" s="83"/>
      <c r="F96" s="84"/>
      <c r="G96" s="145"/>
      <c r="H96" s="146"/>
      <c r="I96" s="145"/>
      <c r="J96" s="81"/>
      <c r="K96" s="147"/>
      <c r="L96" s="116"/>
      <c r="M96" s="117"/>
    </row>
    <row r="97" spans="4:13" ht="4.9000000000000004" customHeight="1" x14ac:dyDescent="0.25"/>
    <row r="98" spans="4:13" ht="14.45" customHeight="1" x14ac:dyDescent="0.25"/>
    <row r="99" spans="4:13" ht="14.45" customHeight="1" x14ac:dyDescent="0.25">
      <c r="H99" s="121" t="s">
        <v>142</v>
      </c>
      <c r="I99" s="122"/>
      <c r="J99" s="122"/>
      <c r="K99" s="123"/>
    </row>
    <row r="100" spans="4:13" x14ac:dyDescent="0.25">
      <c r="H100" s="125" t="s">
        <v>35</v>
      </c>
      <c r="I100" s="126"/>
      <c r="J100" s="127"/>
      <c r="K100" s="128">
        <f>SUM(K89:K94)</f>
        <v>0</v>
      </c>
    </row>
    <row r="101" spans="4:13" x14ac:dyDescent="0.25">
      <c r="H101" s="129" t="s">
        <v>36</v>
      </c>
      <c r="I101" s="130"/>
      <c r="J101" s="131"/>
      <c r="K101" s="132">
        <f>MIN(SUM(L89:L94),20000)</f>
        <v>0</v>
      </c>
    </row>
    <row r="102" spans="4:13" x14ac:dyDescent="0.25">
      <c r="G102" s="136"/>
      <c r="H102" s="137"/>
      <c r="I102" s="136"/>
      <c r="K102" s="138"/>
      <c r="L102" s="117"/>
      <c r="M102" s="117"/>
    </row>
    <row r="103" spans="4:13" x14ac:dyDescent="0.25">
      <c r="D103" s="133"/>
      <c r="E103" s="134"/>
      <c r="F103" s="135"/>
      <c r="G103" s="133"/>
      <c r="H103" s="133"/>
      <c r="I103" s="133"/>
      <c r="J103" s="133"/>
      <c r="K103" s="133"/>
      <c r="L103" s="133"/>
      <c r="M103" s="117"/>
    </row>
    <row r="104" spans="4:13" x14ac:dyDescent="0.25">
      <c r="G104" s="133"/>
      <c r="H104" s="133"/>
      <c r="I104" s="133"/>
      <c r="J104" s="133"/>
      <c r="K104" s="133"/>
      <c r="L104" s="133"/>
      <c r="M104" s="117"/>
    </row>
    <row r="105" spans="4:13" x14ac:dyDescent="0.25">
      <c r="D105" s="133"/>
      <c r="E105" s="134"/>
      <c r="F105" s="135"/>
      <c r="G105" s="133"/>
      <c r="H105" s="133"/>
      <c r="I105" s="133"/>
      <c r="J105" s="133"/>
      <c r="K105" s="133"/>
      <c r="L105" s="133"/>
      <c r="M105" s="117"/>
    </row>
    <row r="106" spans="4:13" x14ac:dyDescent="0.25">
      <c r="G106" s="133"/>
      <c r="H106" s="133"/>
      <c r="I106" s="133"/>
      <c r="J106" s="133"/>
      <c r="K106" s="133"/>
      <c r="L106" s="133"/>
      <c r="M106" s="117"/>
    </row>
    <row r="107" spans="4:13" x14ac:dyDescent="0.25">
      <c r="D107" s="133"/>
      <c r="E107" s="134"/>
      <c r="F107" s="135"/>
      <c r="G107" s="133"/>
      <c r="H107" s="133"/>
      <c r="I107" s="133"/>
      <c r="J107" s="133"/>
      <c r="K107" s="133"/>
      <c r="L107" s="133"/>
      <c r="M107" s="117"/>
    </row>
    <row r="108" spans="4:13" x14ac:dyDescent="0.25">
      <c r="G108" s="133"/>
      <c r="H108" s="133"/>
      <c r="I108" s="133"/>
      <c r="J108" s="133"/>
      <c r="K108" s="133"/>
      <c r="L108" s="133"/>
      <c r="M108" s="117"/>
    </row>
    <row r="109" spans="4:13" x14ac:dyDescent="0.25">
      <c r="D109" s="133"/>
      <c r="E109" s="134"/>
      <c r="F109" s="135"/>
      <c r="G109" s="133"/>
      <c r="H109" s="133"/>
      <c r="I109" s="133"/>
      <c r="J109" s="133"/>
      <c r="K109" s="133"/>
      <c r="L109" s="133"/>
      <c r="M109" s="117"/>
    </row>
    <row r="110" spans="4:13" x14ac:dyDescent="0.25">
      <c r="G110" s="133"/>
      <c r="H110" s="133"/>
      <c r="I110" s="133"/>
      <c r="J110" s="133"/>
      <c r="K110" s="133"/>
      <c r="L110" s="133"/>
      <c r="M110" s="117"/>
    </row>
    <row r="111" spans="4:13" x14ac:dyDescent="0.25">
      <c r="D111" s="133"/>
      <c r="E111" s="134"/>
      <c r="F111" s="135"/>
      <c r="G111" s="133"/>
      <c r="H111" s="133"/>
      <c r="I111" s="133"/>
      <c r="J111" s="133"/>
      <c r="K111" s="133"/>
      <c r="L111" s="133"/>
      <c r="M111" s="117"/>
    </row>
    <row r="112" spans="4:13" x14ac:dyDescent="0.25">
      <c r="G112" s="133"/>
      <c r="H112" s="133"/>
      <c r="I112" s="133"/>
      <c r="J112" s="133"/>
      <c r="K112" s="133"/>
      <c r="L112" s="133"/>
    </row>
    <row r="113" spans="7:12" x14ac:dyDescent="0.25">
      <c r="G113" s="133"/>
      <c r="H113" s="133"/>
      <c r="I113" s="133"/>
      <c r="J113" s="133"/>
      <c r="K113" s="133"/>
      <c r="L113" s="133"/>
    </row>
    <row r="114" spans="7:12" x14ac:dyDescent="0.25"/>
    <row r="115" spans="7:12" x14ac:dyDescent="0.25"/>
    <row r="116" spans="7:12" x14ac:dyDescent="0.25"/>
    <row r="117" spans="7:12" x14ac:dyDescent="0.25"/>
    <row r="118" spans="7:12" x14ac:dyDescent="0.25"/>
    <row r="119" spans="7:12" x14ac:dyDescent="0.25"/>
    <row r="120" spans="7:12" x14ac:dyDescent="0.25"/>
    <row r="121" spans="7:12" x14ac:dyDescent="0.25"/>
    <row r="122" spans="7:12" x14ac:dyDescent="0.25"/>
    <row r="123" spans="7:12" x14ac:dyDescent="0.25"/>
    <row r="124" spans="7:12" x14ac:dyDescent="0.25"/>
    <row r="125" spans="7:12" x14ac:dyDescent="0.25"/>
    <row r="126" spans="7:12" x14ac:dyDescent="0.25"/>
    <row r="127" spans="7:12" x14ac:dyDescent="0.25"/>
    <row r="128" spans="7:12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</sheetData>
  <printOptions horizontalCentered="1"/>
  <pageMargins left="0.25" right="0.25" top="0.75" bottom="0.75" header="0.3" footer="0.3"/>
  <pageSetup scale="70" orientation="landscape" r:id="rId1"/>
  <headerFooter>
    <oddFooter>&amp;LPre-Authorized Comm. Lighting&amp;RPage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topLeftCell="A58" zoomScale="90" zoomScaleNormal="90" workbookViewId="0">
      <selection activeCell="K15" sqref="K15"/>
    </sheetView>
  </sheetViews>
  <sheetFormatPr defaultColWidth="0" defaultRowHeight="15" zeroHeight="1" x14ac:dyDescent="0.25"/>
  <cols>
    <col min="1" max="2" width="3.28515625" style="1" customWidth="1"/>
    <col min="3" max="3" width="51.28515625" style="1" customWidth="1"/>
    <col min="4" max="4" width="12.7109375" style="1" customWidth="1"/>
    <col min="5" max="5" width="19.5703125" style="1" bestFit="1" customWidth="1"/>
    <col min="6" max="6" width="3.28515625" style="1" customWidth="1"/>
    <col min="7" max="9" width="12.7109375" style="1" customWidth="1"/>
    <col min="10" max="10" width="4.28515625" style="1" customWidth="1"/>
    <col min="11" max="14" width="12.7109375" style="1" customWidth="1"/>
    <col min="15" max="15" width="14" style="1" customWidth="1"/>
    <col min="16" max="17" width="12.7109375" style="1" customWidth="1"/>
    <col min="18" max="18" width="3.28515625" style="1" customWidth="1"/>
    <col min="19" max="19" width="0" style="1" hidden="1" customWidth="1"/>
    <col min="20" max="16384" width="8.85546875" style="1" hidden="1"/>
  </cols>
  <sheetData>
    <row r="1" spans="2:17" x14ac:dyDescent="0.25"/>
    <row r="2" spans="2:17" ht="18.75" x14ac:dyDescent="0.3">
      <c r="B2" s="54" t="s">
        <v>92</v>
      </c>
      <c r="C2" s="55"/>
      <c r="D2" s="55"/>
      <c r="E2" s="56"/>
      <c r="F2" s="56"/>
      <c r="G2" s="56"/>
      <c r="H2" s="56"/>
      <c r="I2" s="57"/>
      <c r="J2" s="57"/>
      <c r="K2" s="57"/>
      <c r="L2" s="57"/>
      <c r="M2" s="57"/>
      <c r="N2" s="57"/>
      <c r="O2" s="57"/>
      <c r="P2" s="57"/>
      <c r="Q2" s="58"/>
    </row>
    <row r="3" spans="2:17" ht="12" customHeight="1" x14ac:dyDescent="0.25">
      <c r="B3" s="59" t="str">
        <f>+'Application Information'!$B$5</f>
        <v>Version 2023.1</v>
      </c>
      <c r="C3" s="60"/>
      <c r="D3" s="60"/>
      <c r="E3" s="61"/>
      <c r="F3" s="61"/>
      <c r="G3" s="61"/>
      <c r="H3" s="61"/>
      <c r="I3" s="62"/>
      <c r="J3" s="62"/>
      <c r="K3" s="62"/>
      <c r="L3" s="62"/>
      <c r="M3" s="62"/>
      <c r="N3" s="62"/>
      <c r="O3" s="62"/>
      <c r="P3" s="62"/>
      <c r="Q3" s="63"/>
    </row>
    <row r="4" spans="2:17" ht="4.9000000000000004" customHeight="1" x14ac:dyDescent="0.25"/>
    <row r="5" spans="2:17" s="67" customFormat="1" x14ac:dyDescent="0.25">
      <c r="B5" s="64" t="s">
        <v>34</v>
      </c>
      <c r="C5" s="65"/>
      <c r="D5" s="65"/>
      <c r="E5" s="65"/>
      <c r="F5" s="65"/>
      <c r="G5" s="65"/>
      <c r="H5" s="65"/>
      <c r="I5" s="66"/>
    </row>
    <row r="6" spans="2:17" ht="4.9000000000000004" customHeight="1" x14ac:dyDescent="0.25"/>
    <row r="7" spans="2:17" ht="12" customHeight="1" x14ac:dyDescent="0.25">
      <c r="B7" s="68" t="s">
        <v>185</v>
      </c>
      <c r="C7" s="68"/>
      <c r="D7" s="68"/>
    </row>
    <row r="8" spans="2:17" ht="12" customHeight="1" x14ac:dyDescent="0.25">
      <c r="B8" s="69" t="s">
        <v>105</v>
      </c>
      <c r="C8" s="68"/>
      <c r="D8" s="68"/>
    </row>
    <row r="9" spans="2:17" ht="12" customHeight="1" x14ac:dyDescent="0.25">
      <c r="B9" s="68" t="s">
        <v>106</v>
      </c>
      <c r="C9" s="68"/>
      <c r="D9" s="68"/>
    </row>
    <row r="10" spans="2:17" ht="12" customHeight="1" x14ac:dyDescent="0.25">
      <c r="B10" s="68" t="s">
        <v>107</v>
      </c>
      <c r="C10" s="68"/>
      <c r="D10" s="68"/>
    </row>
    <row r="11" spans="2:17" ht="12" customHeight="1" x14ac:dyDescent="0.25">
      <c r="B11" s="68" t="s">
        <v>187</v>
      </c>
      <c r="C11" s="68"/>
      <c r="D11" s="68"/>
    </row>
    <row r="12" spans="2:17" ht="12" customHeight="1" x14ac:dyDescent="0.25">
      <c r="B12" s="68" t="s">
        <v>120</v>
      </c>
      <c r="C12" s="68"/>
      <c r="D12" s="68"/>
    </row>
    <row r="13" spans="2:17" ht="12" customHeight="1" x14ac:dyDescent="0.25">
      <c r="B13" s="70" t="s">
        <v>121</v>
      </c>
      <c r="C13" s="68"/>
      <c r="D13" s="68"/>
    </row>
    <row r="14" spans="2:17" ht="12" customHeight="1" x14ac:dyDescent="0.25">
      <c r="B14" s="68" t="s">
        <v>122</v>
      </c>
      <c r="C14" s="68"/>
      <c r="D14" s="68"/>
    </row>
    <row r="15" spans="2:17" ht="12" customHeight="1" x14ac:dyDescent="0.25">
      <c r="C15" s="68"/>
      <c r="D15" s="68"/>
    </row>
    <row r="16" spans="2:17" ht="12" customHeight="1" x14ac:dyDescent="0.25">
      <c r="B16" s="71"/>
      <c r="C16" s="72" t="s">
        <v>108</v>
      </c>
      <c r="D16" s="73"/>
      <c r="E16" s="74" t="s">
        <v>125</v>
      </c>
    </row>
    <row r="17" spans="2:17" ht="12" customHeight="1" x14ac:dyDescent="0.25"/>
    <row r="18" spans="2:17" x14ac:dyDescent="0.25">
      <c r="B18" s="75" t="s">
        <v>87</v>
      </c>
      <c r="C18" s="76"/>
      <c r="D18" s="76"/>
      <c r="E18" s="76"/>
      <c r="F18" s="76"/>
      <c r="G18" s="77"/>
      <c r="H18" s="77"/>
      <c r="I18" s="76"/>
      <c r="J18" s="76"/>
      <c r="K18" s="76"/>
      <c r="L18" s="76"/>
      <c r="M18" s="76"/>
      <c r="N18" s="76"/>
      <c r="O18" s="76"/>
      <c r="P18" s="76"/>
      <c r="Q18" s="78"/>
    </row>
    <row r="19" spans="2:17" ht="75" x14ac:dyDescent="0.25">
      <c r="B19" s="79" t="s">
        <v>23</v>
      </c>
      <c r="C19" s="79"/>
      <c r="D19" s="18" t="s">
        <v>33</v>
      </c>
      <c r="E19" s="18" t="s">
        <v>112</v>
      </c>
      <c r="F19" s="20"/>
      <c r="G19" s="18" t="s">
        <v>31</v>
      </c>
      <c r="H19" s="18" t="s">
        <v>179</v>
      </c>
      <c r="I19" s="80" t="s">
        <v>111</v>
      </c>
      <c r="J19" s="80"/>
      <c r="K19" s="18" t="s">
        <v>110</v>
      </c>
      <c r="L19" s="18" t="s">
        <v>102</v>
      </c>
      <c r="M19" s="18" t="s">
        <v>103</v>
      </c>
      <c r="N19" s="18" t="s">
        <v>33</v>
      </c>
      <c r="O19" s="18" t="s">
        <v>104</v>
      </c>
      <c r="P19" s="18" t="s">
        <v>94</v>
      </c>
      <c r="Q19" s="18" t="s">
        <v>93</v>
      </c>
    </row>
    <row r="20" spans="2:17" x14ac:dyDescent="0.25">
      <c r="B20" s="34" t="s">
        <v>148</v>
      </c>
      <c r="C20" s="81"/>
      <c r="D20" s="82">
        <f>+'Submission Form'!D26</f>
        <v>4.9500000000000002E-2</v>
      </c>
      <c r="E20" s="83">
        <f>+'Submission Form'!L26</f>
        <v>0</v>
      </c>
      <c r="F20" s="142" t="s">
        <v>30</v>
      </c>
      <c r="G20" s="85">
        <f>+'Submission Form'!G26</f>
        <v>0</v>
      </c>
      <c r="H20" s="86">
        <f>+'Submission Form'!H26</f>
        <v>0</v>
      </c>
      <c r="I20" s="85">
        <f>+'Submission Form'!I26</f>
        <v>0</v>
      </c>
      <c r="J20" s="136"/>
      <c r="K20" s="47"/>
      <c r="L20" s="48"/>
      <c r="M20" s="48"/>
      <c r="N20" s="82">
        <f>IF(G20&gt;0,IF($E$16="Estimated kW Savings",D20,(L20-M20)/1000),0)</f>
        <v>0</v>
      </c>
      <c r="O20" s="87">
        <f>(N20*G20)*K20*I20</f>
        <v>0</v>
      </c>
      <c r="P20" s="82">
        <f>IF(H20&lt;=0,0,IFERROR((H20*G20)/O20,0))</f>
        <v>0</v>
      </c>
      <c r="Q20" s="82">
        <f>IF(H20&lt;=0,0,IFERROR(((H20*G20)-E20)/O20,0))</f>
        <v>0</v>
      </c>
    </row>
    <row r="21" spans="2:17" x14ac:dyDescent="0.25">
      <c r="B21" s="34" t="s">
        <v>178</v>
      </c>
      <c r="C21" s="81"/>
      <c r="D21" s="82">
        <f>+'Submission Form'!D27</f>
        <v>1.2109999999999999E-2</v>
      </c>
      <c r="E21" s="83">
        <f>+'Submission Form'!L27</f>
        <v>0</v>
      </c>
      <c r="F21" s="142" t="s">
        <v>30</v>
      </c>
      <c r="G21" s="85">
        <f>+'Submission Form'!G27</f>
        <v>0</v>
      </c>
      <c r="H21" s="86">
        <f>+'Submission Form'!H27</f>
        <v>0</v>
      </c>
      <c r="I21" s="85">
        <f>+'Submission Form'!I27</f>
        <v>0</v>
      </c>
      <c r="J21" s="136"/>
      <c r="K21" s="47"/>
      <c r="L21" s="48"/>
      <c r="M21" s="48"/>
      <c r="N21" s="82">
        <f t="shared" ref="N21:N30" si="0">IF(G21&gt;0,IF($E$16="Estimated kW Savings",D21,(L21-M21)/1000),0)</f>
        <v>0</v>
      </c>
      <c r="O21" s="87">
        <f t="shared" ref="O21:O30" si="1">(N21*G21)*K21*I21</f>
        <v>0</v>
      </c>
      <c r="P21" s="82">
        <f t="shared" ref="P21:P30" si="2">IF(H21&lt;=0,0,IFERROR((H21*G21)/O21,0))</f>
        <v>0</v>
      </c>
      <c r="Q21" s="82">
        <f t="shared" ref="Q21:Q30" si="3">IF(H21&lt;=0,0,IFERROR(((H21*G21)-E21)/O21,0))</f>
        <v>0</v>
      </c>
    </row>
    <row r="22" spans="2:17" x14ac:dyDescent="0.25">
      <c r="B22" s="35" t="s">
        <v>88</v>
      </c>
      <c r="C22" s="81"/>
      <c r="D22" s="82">
        <f>+'Submission Form'!D28</f>
        <v>8.5000000000000006E-3</v>
      </c>
      <c r="E22" s="83">
        <f>+'Submission Form'!L28</f>
        <v>0</v>
      </c>
      <c r="F22" s="142" t="s">
        <v>30</v>
      </c>
      <c r="G22" s="85">
        <f>+'Submission Form'!G28</f>
        <v>0</v>
      </c>
      <c r="H22" s="86">
        <f>+'Submission Form'!H28</f>
        <v>0</v>
      </c>
      <c r="I22" s="85">
        <f>+'Submission Form'!I28</f>
        <v>0</v>
      </c>
      <c r="J22" s="136"/>
      <c r="K22" s="47"/>
      <c r="L22" s="48"/>
      <c r="M22" s="48"/>
      <c r="N22" s="82">
        <f t="shared" si="0"/>
        <v>0</v>
      </c>
      <c r="O22" s="87">
        <f t="shared" si="1"/>
        <v>0</v>
      </c>
      <c r="P22" s="82">
        <f t="shared" si="2"/>
        <v>0</v>
      </c>
      <c r="Q22" s="82">
        <f t="shared" si="3"/>
        <v>0</v>
      </c>
    </row>
    <row r="23" spans="2:17" x14ac:dyDescent="0.25">
      <c r="B23" s="35" t="s">
        <v>26</v>
      </c>
      <c r="C23" s="88"/>
      <c r="D23" s="82">
        <f>+'Submission Form'!D29</f>
        <v>2.8000000000000001E-2</v>
      </c>
      <c r="E23" s="83">
        <f>+'Submission Form'!L29</f>
        <v>0</v>
      </c>
      <c r="F23" s="142" t="s">
        <v>30</v>
      </c>
      <c r="G23" s="85">
        <f>+'Submission Form'!G29</f>
        <v>0</v>
      </c>
      <c r="H23" s="86">
        <f>+'Submission Form'!H29</f>
        <v>0</v>
      </c>
      <c r="I23" s="85">
        <f>+'Submission Form'!I29</f>
        <v>0</v>
      </c>
      <c r="J23" s="136"/>
      <c r="K23" s="47"/>
      <c r="L23" s="53"/>
      <c r="M23" s="53"/>
      <c r="N23" s="82">
        <f t="shared" si="0"/>
        <v>0</v>
      </c>
      <c r="O23" s="87">
        <f t="shared" si="1"/>
        <v>0</v>
      </c>
      <c r="P23" s="82">
        <f t="shared" si="2"/>
        <v>0</v>
      </c>
      <c r="Q23" s="82">
        <f t="shared" si="3"/>
        <v>0</v>
      </c>
    </row>
    <row r="24" spans="2:17" ht="14.45" customHeight="1" x14ac:dyDescent="0.25">
      <c r="B24" s="35" t="s">
        <v>162</v>
      </c>
      <c r="C24" s="81"/>
      <c r="D24" s="82">
        <f>+'Submission Form'!D30</f>
        <v>1.55E-2</v>
      </c>
      <c r="E24" s="83">
        <f>+'Submission Form'!L30</f>
        <v>0</v>
      </c>
      <c r="F24" s="142" t="s">
        <v>30</v>
      </c>
      <c r="G24" s="85">
        <f>+'Submission Form'!G30</f>
        <v>0</v>
      </c>
      <c r="H24" s="86">
        <f>+'Submission Form'!H30</f>
        <v>0</v>
      </c>
      <c r="I24" s="85">
        <f>+'Submission Form'!I30</f>
        <v>0</v>
      </c>
      <c r="J24" s="136"/>
      <c r="K24" s="47"/>
      <c r="L24" s="53"/>
      <c r="M24" s="53"/>
      <c r="N24" s="82">
        <f t="shared" si="0"/>
        <v>0</v>
      </c>
      <c r="O24" s="87">
        <f t="shared" si="1"/>
        <v>0</v>
      </c>
      <c r="P24" s="82">
        <f t="shared" si="2"/>
        <v>0</v>
      </c>
      <c r="Q24" s="82">
        <f t="shared" si="3"/>
        <v>0</v>
      </c>
    </row>
    <row r="25" spans="2:17" ht="14.45" customHeight="1" x14ac:dyDescent="0.25">
      <c r="B25" s="35" t="s">
        <v>170</v>
      </c>
      <c r="C25" s="81"/>
      <c r="D25" s="82">
        <f>+'Submission Form'!D31</f>
        <v>1.2109999999999999E-2</v>
      </c>
      <c r="E25" s="83">
        <f>+'Submission Form'!L31</f>
        <v>0</v>
      </c>
      <c r="F25" s="142" t="s">
        <v>30</v>
      </c>
      <c r="G25" s="85">
        <f>+'Submission Form'!G31</f>
        <v>0</v>
      </c>
      <c r="H25" s="86">
        <f>+'Submission Form'!H31</f>
        <v>0</v>
      </c>
      <c r="I25" s="85">
        <f>+'Submission Form'!I31</f>
        <v>0</v>
      </c>
      <c r="J25" s="136"/>
      <c r="K25" s="47"/>
      <c r="L25" s="53"/>
      <c r="M25" s="53"/>
      <c r="N25" s="82">
        <f t="shared" si="0"/>
        <v>0</v>
      </c>
      <c r="O25" s="87">
        <f t="shared" si="1"/>
        <v>0</v>
      </c>
      <c r="P25" s="82">
        <f t="shared" si="2"/>
        <v>0</v>
      </c>
      <c r="Q25" s="82">
        <f t="shared" si="3"/>
        <v>0</v>
      </c>
    </row>
    <row r="26" spans="2:17" ht="14.45" customHeight="1" x14ac:dyDescent="0.25">
      <c r="B26" s="35" t="s">
        <v>161</v>
      </c>
      <c r="C26" s="81"/>
      <c r="D26" s="82">
        <f>+'Submission Form'!D32</f>
        <v>3.1E-2</v>
      </c>
      <c r="E26" s="83">
        <f>+'Submission Form'!L32</f>
        <v>0</v>
      </c>
      <c r="F26" s="142" t="s">
        <v>30</v>
      </c>
      <c r="G26" s="85">
        <f>+'Submission Form'!G32</f>
        <v>0</v>
      </c>
      <c r="H26" s="86">
        <f>+'Submission Form'!H32</f>
        <v>0</v>
      </c>
      <c r="I26" s="85">
        <f>+'Submission Form'!I32</f>
        <v>0</v>
      </c>
      <c r="J26" s="136"/>
      <c r="K26" s="47"/>
      <c r="L26" s="53"/>
      <c r="M26" s="53"/>
      <c r="N26" s="82">
        <f t="shared" si="0"/>
        <v>0</v>
      </c>
      <c r="O26" s="87">
        <f t="shared" si="1"/>
        <v>0</v>
      </c>
      <c r="P26" s="82">
        <f t="shared" si="2"/>
        <v>0</v>
      </c>
      <c r="Q26" s="82">
        <f t="shared" si="3"/>
        <v>0</v>
      </c>
    </row>
    <row r="27" spans="2:17" ht="14.45" customHeight="1" x14ac:dyDescent="0.25">
      <c r="B27" s="35" t="s">
        <v>174</v>
      </c>
      <c r="C27" s="81"/>
      <c r="D27" s="82">
        <f>+'Submission Form'!D33</f>
        <v>0.1</v>
      </c>
      <c r="E27" s="83">
        <f>+'Submission Form'!L33</f>
        <v>0</v>
      </c>
      <c r="F27" s="142" t="s">
        <v>30</v>
      </c>
      <c r="G27" s="85">
        <f>+'Submission Form'!G33</f>
        <v>0</v>
      </c>
      <c r="H27" s="86">
        <f>+'Submission Form'!H33</f>
        <v>0</v>
      </c>
      <c r="I27" s="85">
        <f>+'Submission Form'!I33</f>
        <v>0</v>
      </c>
      <c r="J27" s="136"/>
      <c r="K27" s="47"/>
      <c r="L27" s="53"/>
      <c r="M27" s="53"/>
      <c r="N27" s="82">
        <f t="shared" si="0"/>
        <v>0</v>
      </c>
      <c r="O27" s="87">
        <f t="shared" si="1"/>
        <v>0</v>
      </c>
      <c r="P27" s="82">
        <f t="shared" si="2"/>
        <v>0</v>
      </c>
      <c r="Q27" s="82">
        <f t="shared" si="3"/>
        <v>0</v>
      </c>
    </row>
    <row r="28" spans="2:17" ht="14.45" customHeight="1" x14ac:dyDescent="0.25">
      <c r="B28" s="35" t="s">
        <v>175</v>
      </c>
      <c r="C28" s="81"/>
      <c r="D28" s="82">
        <f>+'Submission Form'!D34</f>
        <v>0.13400000000000001</v>
      </c>
      <c r="E28" s="83">
        <f>+'Submission Form'!L34</f>
        <v>0</v>
      </c>
      <c r="F28" s="142" t="s">
        <v>30</v>
      </c>
      <c r="G28" s="85">
        <f>+'Submission Form'!G34</f>
        <v>0</v>
      </c>
      <c r="H28" s="86">
        <f>+'Submission Form'!H34</f>
        <v>0</v>
      </c>
      <c r="I28" s="85">
        <f>+'Submission Form'!I34</f>
        <v>0</v>
      </c>
      <c r="J28" s="136"/>
      <c r="K28" s="47"/>
      <c r="L28" s="53"/>
      <c r="M28" s="53"/>
      <c r="N28" s="82">
        <f t="shared" si="0"/>
        <v>0</v>
      </c>
      <c r="O28" s="87">
        <f t="shared" si="1"/>
        <v>0</v>
      </c>
      <c r="P28" s="82">
        <f t="shared" si="2"/>
        <v>0</v>
      </c>
      <c r="Q28" s="82">
        <f t="shared" si="3"/>
        <v>0</v>
      </c>
    </row>
    <row r="29" spans="2:17" ht="14.45" customHeight="1" x14ac:dyDescent="0.25">
      <c r="B29" s="35" t="s">
        <v>176</v>
      </c>
      <c r="C29" s="81"/>
      <c r="D29" s="82">
        <f>+'Submission Form'!D35</f>
        <v>0.219</v>
      </c>
      <c r="E29" s="83">
        <f>+'Submission Form'!L35</f>
        <v>0</v>
      </c>
      <c r="F29" s="142" t="s">
        <v>30</v>
      </c>
      <c r="G29" s="85">
        <f>+'Submission Form'!G35</f>
        <v>0</v>
      </c>
      <c r="H29" s="86">
        <f>+'Submission Form'!H35</f>
        <v>0</v>
      </c>
      <c r="I29" s="85">
        <f>+'Submission Form'!I35</f>
        <v>0</v>
      </c>
      <c r="J29" s="136"/>
      <c r="K29" s="47"/>
      <c r="L29" s="53"/>
      <c r="M29" s="53"/>
      <c r="N29" s="82">
        <f t="shared" si="0"/>
        <v>0</v>
      </c>
      <c r="O29" s="87">
        <f t="shared" si="1"/>
        <v>0</v>
      </c>
      <c r="P29" s="82">
        <f t="shared" si="2"/>
        <v>0</v>
      </c>
      <c r="Q29" s="82">
        <f t="shared" si="3"/>
        <v>0</v>
      </c>
    </row>
    <row r="30" spans="2:17" ht="14.45" customHeight="1" x14ac:dyDescent="0.25">
      <c r="B30" s="35" t="s">
        <v>177</v>
      </c>
      <c r="C30" s="81"/>
      <c r="D30" s="82">
        <f>+'Submission Form'!D36</f>
        <v>0.28299999999999997</v>
      </c>
      <c r="E30" s="83">
        <f>+'Submission Form'!L36</f>
        <v>0</v>
      </c>
      <c r="F30" s="142" t="s">
        <v>30</v>
      </c>
      <c r="G30" s="85">
        <f>+'Submission Form'!G36</f>
        <v>0</v>
      </c>
      <c r="H30" s="86">
        <f>+'Submission Form'!H36</f>
        <v>0</v>
      </c>
      <c r="I30" s="85">
        <f>+'Submission Form'!I36</f>
        <v>0</v>
      </c>
      <c r="J30" s="136"/>
      <c r="K30" s="47"/>
      <c r="L30" s="48"/>
      <c r="M30" s="48"/>
      <c r="N30" s="82">
        <f t="shared" si="0"/>
        <v>0</v>
      </c>
      <c r="O30" s="87">
        <f t="shared" si="1"/>
        <v>0</v>
      </c>
      <c r="P30" s="82">
        <f t="shared" si="2"/>
        <v>0</v>
      </c>
      <c r="Q30" s="82">
        <f t="shared" si="3"/>
        <v>0</v>
      </c>
    </row>
    <row r="31" spans="2:17" ht="4.9000000000000004" customHeight="1" x14ac:dyDescent="0.25">
      <c r="D31" s="90"/>
      <c r="E31" s="90"/>
      <c r="F31" s="90"/>
      <c r="G31" s="8"/>
      <c r="H31" s="8"/>
      <c r="I31" s="90"/>
      <c r="J31" s="90"/>
      <c r="K31" s="90"/>
      <c r="L31" s="90"/>
      <c r="M31" s="90"/>
      <c r="N31" s="90"/>
      <c r="O31" s="90"/>
      <c r="P31" s="90"/>
      <c r="Q31" s="90"/>
    </row>
    <row r="32" spans="2:17" ht="14.45" customHeight="1" x14ac:dyDescent="0.25">
      <c r="B32" s="75" t="s">
        <v>154</v>
      </c>
      <c r="C32" s="76"/>
      <c r="D32" s="76"/>
      <c r="E32" s="76"/>
      <c r="F32" s="76"/>
      <c r="G32" s="77"/>
      <c r="H32" s="77"/>
      <c r="I32" s="76"/>
      <c r="J32" s="76"/>
      <c r="K32" s="76"/>
      <c r="L32" s="76"/>
      <c r="M32" s="76"/>
      <c r="N32" s="76"/>
      <c r="O32" s="76"/>
      <c r="P32" s="76"/>
      <c r="Q32" s="78"/>
    </row>
    <row r="33" spans="2:17" ht="75" x14ac:dyDescent="0.25">
      <c r="B33" s="79" t="s">
        <v>23</v>
      </c>
      <c r="C33" s="79"/>
      <c r="D33" s="18" t="s">
        <v>33</v>
      </c>
      <c r="E33" s="18" t="s">
        <v>112</v>
      </c>
      <c r="F33" s="20"/>
      <c r="G33" s="18" t="s">
        <v>31</v>
      </c>
      <c r="H33" s="18" t="s">
        <v>179</v>
      </c>
      <c r="I33" s="80" t="s">
        <v>111</v>
      </c>
      <c r="J33" s="80"/>
      <c r="K33" s="18" t="s">
        <v>110</v>
      </c>
      <c r="L33" s="18" t="s">
        <v>102</v>
      </c>
      <c r="M33" s="18" t="s">
        <v>103</v>
      </c>
      <c r="N33" s="18" t="s">
        <v>33</v>
      </c>
      <c r="O33" s="18" t="s">
        <v>104</v>
      </c>
      <c r="P33" s="18" t="s">
        <v>94</v>
      </c>
      <c r="Q33" s="18" t="s">
        <v>93</v>
      </c>
    </row>
    <row r="34" spans="2:17" ht="14.45" customHeight="1" x14ac:dyDescent="0.25">
      <c r="B34" s="34" t="s">
        <v>158</v>
      </c>
      <c r="C34" s="81"/>
      <c r="D34" s="82">
        <f>+'Submission Form'!D42</f>
        <v>1.9299999999999998E-2</v>
      </c>
      <c r="E34" s="83">
        <f>+'Submission Form'!L42</f>
        <v>0</v>
      </c>
      <c r="F34" s="84" t="s">
        <v>30</v>
      </c>
      <c r="G34" s="85">
        <f>+'Submission Form'!G42</f>
        <v>0</v>
      </c>
      <c r="H34" s="86">
        <f>+'Submission Form'!H42</f>
        <v>0</v>
      </c>
      <c r="I34" s="85">
        <f>+'Submission Form'!I42</f>
        <v>0</v>
      </c>
      <c r="J34" s="136"/>
      <c r="K34" s="47"/>
      <c r="L34" s="48"/>
      <c r="M34" s="48"/>
      <c r="N34" s="82">
        <f t="shared" ref="N34" si="4">IF(G34&gt;0,IF($E$16="Estimated kW Savings",D34,(L34-M34)/1000),0)</f>
        <v>0</v>
      </c>
      <c r="O34" s="87">
        <f t="shared" ref="O34" si="5">(N34*G34)*K34*I34</f>
        <v>0</v>
      </c>
      <c r="P34" s="82">
        <f t="shared" ref="P34" si="6">IF(H34&lt;=0,0,IFERROR((H34*G34)/O34,0))</f>
        <v>0</v>
      </c>
      <c r="Q34" s="82">
        <f t="shared" ref="Q34" si="7">IF(H34&lt;=0,0,IFERROR(((H34*G34)-E34)/O34,0))</f>
        <v>0</v>
      </c>
    </row>
    <row r="35" spans="2:17" ht="14.45" customHeight="1" x14ac:dyDescent="0.25">
      <c r="B35" s="35" t="s">
        <v>155</v>
      </c>
      <c r="C35" s="81"/>
      <c r="D35" s="82">
        <f>+'Submission Form'!D43</f>
        <v>1.4999999999999999E-2</v>
      </c>
      <c r="E35" s="83">
        <f>+'Submission Form'!L43</f>
        <v>0</v>
      </c>
      <c r="F35" s="84" t="s">
        <v>30</v>
      </c>
      <c r="G35" s="85">
        <f>+'Submission Form'!G43</f>
        <v>0</v>
      </c>
      <c r="H35" s="86">
        <f>+'Submission Form'!H43</f>
        <v>0</v>
      </c>
      <c r="I35" s="85">
        <f>+'Submission Form'!I43</f>
        <v>0</v>
      </c>
      <c r="J35" s="136"/>
      <c r="K35" s="47"/>
      <c r="L35" s="48"/>
      <c r="M35" s="48"/>
      <c r="N35" s="82">
        <f t="shared" ref="N35:N37" si="8">IF(G35&gt;0,IF($E$16="Estimated kW Savings",D35,(L35-M35)/1000),0)</f>
        <v>0</v>
      </c>
      <c r="O35" s="87">
        <f t="shared" ref="O35:O37" si="9">(N35*G35)*K35*I35</f>
        <v>0</v>
      </c>
      <c r="P35" s="82">
        <f t="shared" ref="P35:P37" si="10">IF(H35&lt;=0,0,IFERROR((H35*G35)/O35,0))</f>
        <v>0</v>
      </c>
      <c r="Q35" s="82">
        <f t="shared" ref="Q35:Q37" si="11">IF(H35&lt;=0,0,IFERROR(((H35*G35)-E35)/O35,0))</f>
        <v>0</v>
      </c>
    </row>
    <row r="36" spans="2:17" ht="14.45" customHeight="1" x14ac:dyDescent="0.25">
      <c r="B36" s="35" t="s">
        <v>156</v>
      </c>
      <c r="C36" s="81"/>
      <c r="D36" s="82">
        <f>+'Submission Form'!D44</f>
        <v>2.2090000000000002E-2</v>
      </c>
      <c r="E36" s="83">
        <f>+'Submission Form'!L44</f>
        <v>0</v>
      </c>
      <c r="F36" s="84" t="s">
        <v>30</v>
      </c>
      <c r="G36" s="85">
        <f>+'Submission Form'!G44</f>
        <v>0</v>
      </c>
      <c r="H36" s="86">
        <f>+'Submission Form'!H44</f>
        <v>0</v>
      </c>
      <c r="I36" s="85">
        <f>+'Submission Form'!I44</f>
        <v>0</v>
      </c>
      <c r="J36" s="136"/>
      <c r="K36" s="47"/>
      <c r="L36" s="48"/>
      <c r="M36" s="48"/>
      <c r="N36" s="82">
        <f t="shared" si="8"/>
        <v>0</v>
      </c>
      <c r="O36" s="87">
        <f t="shared" si="9"/>
        <v>0</v>
      </c>
      <c r="P36" s="82">
        <f t="shared" si="10"/>
        <v>0</v>
      </c>
      <c r="Q36" s="82">
        <f t="shared" si="11"/>
        <v>0</v>
      </c>
    </row>
    <row r="37" spans="2:17" ht="14.45" customHeight="1" x14ac:dyDescent="0.25">
      <c r="B37" s="35" t="s">
        <v>157</v>
      </c>
      <c r="C37" s="81"/>
      <c r="D37" s="82">
        <f>+'Submission Form'!D45</f>
        <v>6.8400000000000002E-2</v>
      </c>
      <c r="E37" s="83">
        <f>+'Submission Form'!L45</f>
        <v>0</v>
      </c>
      <c r="F37" s="84" t="s">
        <v>30</v>
      </c>
      <c r="G37" s="85">
        <f>+'Submission Form'!G45</f>
        <v>0</v>
      </c>
      <c r="H37" s="86">
        <f>+'Submission Form'!H45</f>
        <v>0</v>
      </c>
      <c r="I37" s="85">
        <f>+'Submission Form'!I45</f>
        <v>0</v>
      </c>
      <c r="J37" s="136"/>
      <c r="K37" s="47"/>
      <c r="L37" s="48"/>
      <c r="M37" s="48"/>
      <c r="N37" s="82">
        <f t="shared" si="8"/>
        <v>0</v>
      </c>
      <c r="O37" s="87">
        <f t="shared" si="9"/>
        <v>0</v>
      </c>
      <c r="P37" s="82">
        <f t="shared" si="10"/>
        <v>0</v>
      </c>
      <c r="Q37" s="82">
        <f t="shared" si="11"/>
        <v>0</v>
      </c>
    </row>
    <row r="38" spans="2:17" ht="14.45" customHeight="1" x14ac:dyDescent="0.25">
      <c r="B38" s="35" t="s">
        <v>173</v>
      </c>
      <c r="C38" s="81"/>
      <c r="D38" s="82">
        <f>+'Submission Form'!D46</f>
        <v>6.0999999999999999E-2</v>
      </c>
      <c r="E38" s="83">
        <f>+'Submission Form'!L46</f>
        <v>0</v>
      </c>
      <c r="F38" s="84" t="s">
        <v>30</v>
      </c>
      <c r="G38" s="85">
        <f>+'Submission Form'!G46</f>
        <v>0</v>
      </c>
      <c r="H38" s="86">
        <f>+'Submission Form'!H46</f>
        <v>0</v>
      </c>
      <c r="I38" s="85">
        <f>+'Submission Form'!I46</f>
        <v>0</v>
      </c>
      <c r="J38" s="136"/>
      <c r="K38" s="47"/>
      <c r="L38" s="48"/>
      <c r="M38" s="48"/>
      <c r="N38" s="82">
        <f t="shared" ref="N38:N46" si="12">IF(G38&gt;0,IF($E$16="Estimated kW Savings",D38,(L38-M38)/1000),0)</f>
        <v>0</v>
      </c>
      <c r="O38" s="87">
        <f t="shared" ref="O38:O46" si="13">(N38*G38)*K38*I38</f>
        <v>0</v>
      </c>
      <c r="P38" s="82">
        <f t="shared" ref="P38:P46" si="14">IF(H38&lt;=0,0,IFERROR((H38*G38)/O38,0))</f>
        <v>0</v>
      </c>
      <c r="Q38" s="82">
        <f t="shared" ref="Q38:Q46" si="15">IF(H38&lt;=0,0,IFERROR(((H38*G38)-E38)/O38,0))</f>
        <v>0</v>
      </c>
    </row>
    <row r="39" spans="2:17" ht="14.45" customHeight="1" x14ac:dyDescent="0.25">
      <c r="B39" s="34" t="s">
        <v>160</v>
      </c>
      <c r="C39" s="81"/>
      <c r="D39" s="82">
        <f>+'Submission Form'!D47</f>
        <v>5.534E-2</v>
      </c>
      <c r="E39" s="83">
        <f>+'Submission Form'!L47</f>
        <v>0</v>
      </c>
      <c r="F39" s="84" t="s">
        <v>30</v>
      </c>
      <c r="G39" s="85">
        <f>+'Submission Form'!G47</f>
        <v>0</v>
      </c>
      <c r="H39" s="86">
        <f>+'Submission Form'!H47</f>
        <v>0</v>
      </c>
      <c r="I39" s="85">
        <f>+'Submission Form'!I47</f>
        <v>0</v>
      </c>
      <c r="J39" s="136"/>
      <c r="K39" s="47"/>
      <c r="L39" s="48"/>
      <c r="M39" s="48"/>
      <c r="N39" s="82">
        <f t="shared" si="12"/>
        <v>0</v>
      </c>
      <c r="O39" s="87">
        <f t="shared" si="13"/>
        <v>0</v>
      </c>
      <c r="P39" s="82">
        <f t="shared" si="14"/>
        <v>0</v>
      </c>
      <c r="Q39" s="82">
        <f t="shared" si="15"/>
        <v>0</v>
      </c>
    </row>
    <row r="40" spans="2:17" ht="14.45" customHeight="1" x14ac:dyDescent="0.25">
      <c r="B40" s="34" t="s">
        <v>159</v>
      </c>
      <c r="C40" s="81"/>
      <c r="D40" s="82">
        <f>+'Submission Form'!D48</f>
        <v>0.20357</v>
      </c>
      <c r="E40" s="83">
        <f>+'Submission Form'!L48</f>
        <v>0</v>
      </c>
      <c r="F40" s="84" t="s">
        <v>30</v>
      </c>
      <c r="G40" s="85">
        <f>+'Submission Form'!G48</f>
        <v>0</v>
      </c>
      <c r="H40" s="86">
        <f>+'Submission Form'!H48</f>
        <v>0</v>
      </c>
      <c r="I40" s="85">
        <f>+'Submission Form'!I48</f>
        <v>0</v>
      </c>
      <c r="J40" s="136"/>
      <c r="K40" s="47"/>
      <c r="L40" s="48"/>
      <c r="M40" s="48"/>
      <c r="N40" s="82">
        <f t="shared" si="12"/>
        <v>0</v>
      </c>
      <c r="O40" s="87">
        <f t="shared" si="13"/>
        <v>0</v>
      </c>
      <c r="P40" s="82">
        <f t="shared" si="14"/>
        <v>0</v>
      </c>
      <c r="Q40" s="82">
        <f t="shared" si="15"/>
        <v>0</v>
      </c>
    </row>
    <row r="41" spans="2:17" ht="14.45" customHeight="1" x14ac:dyDescent="0.25">
      <c r="B41" s="34" t="s">
        <v>163</v>
      </c>
      <c r="C41" s="81"/>
      <c r="D41" s="82">
        <f>+'Submission Form'!D49</f>
        <v>0.1799</v>
      </c>
      <c r="E41" s="83">
        <f>+'Submission Form'!L49</f>
        <v>0</v>
      </c>
      <c r="F41" s="84" t="s">
        <v>30</v>
      </c>
      <c r="G41" s="85">
        <f>+'Submission Form'!G49</f>
        <v>0</v>
      </c>
      <c r="H41" s="86">
        <f>+'Submission Form'!H49</f>
        <v>0</v>
      </c>
      <c r="I41" s="85">
        <f>+'Submission Form'!I49</f>
        <v>0</v>
      </c>
      <c r="J41" s="136"/>
      <c r="K41" s="47"/>
      <c r="L41" s="48"/>
      <c r="M41" s="48"/>
      <c r="N41" s="82">
        <f t="shared" si="12"/>
        <v>0</v>
      </c>
      <c r="O41" s="87">
        <f t="shared" si="13"/>
        <v>0</v>
      </c>
      <c r="P41" s="82">
        <f t="shared" si="14"/>
        <v>0</v>
      </c>
      <c r="Q41" s="82">
        <f t="shared" si="15"/>
        <v>0</v>
      </c>
    </row>
    <row r="42" spans="2:17" ht="14.45" customHeight="1" x14ac:dyDescent="0.25">
      <c r="B42" s="34" t="s">
        <v>164</v>
      </c>
      <c r="C42" s="88"/>
      <c r="D42" s="82">
        <f>+'Submission Form'!D50</f>
        <v>0.245</v>
      </c>
      <c r="E42" s="83">
        <f>+'Submission Form'!L50</f>
        <v>0</v>
      </c>
      <c r="F42" s="84" t="s">
        <v>30</v>
      </c>
      <c r="G42" s="85">
        <f>+'Submission Form'!G50</f>
        <v>0</v>
      </c>
      <c r="H42" s="86">
        <f>+'Submission Form'!H50</f>
        <v>0</v>
      </c>
      <c r="I42" s="85">
        <f>+'Submission Form'!I50</f>
        <v>0</v>
      </c>
      <c r="J42" s="136"/>
      <c r="K42" s="47"/>
      <c r="L42" s="48"/>
      <c r="M42" s="48"/>
      <c r="N42" s="82">
        <f t="shared" si="12"/>
        <v>0</v>
      </c>
      <c r="O42" s="87">
        <f t="shared" si="13"/>
        <v>0</v>
      </c>
      <c r="P42" s="82">
        <f t="shared" si="14"/>
        <v>0</v>
      </c>
      <c r="Q42" s="82">
        <f t="shared" si="15"/>
        <v>0</v>
      </c>
    </row>
    <row r="43" spans="2:17" ht="14.45" customHeight="1" x14ac:dyDescent="0.25">
      <c r="B43" s="34" t="s">
        <v>165</v>
      </c>
      <c r="C43" s="81"/>
      <c r="D43" s="82">
        <f>+'Submission Form'!D51</f>
        <v>7.8299999999999995E-2</v>
      </c>
      <c r="E43" s="83">
        <f>+'Submission Form'!L51</f>
        <v>0</v>
      </c>
      <c r="F43" s="84" t="s">
        <v>30</v>
      </c>
      <c r="G43" s="85">
        <f>+'Submission Form'!G51</f>
        <v>0</v>
      </c>
      <c r="H43" s="86">
        <f>+'Submission Form'!H51</f>
        <v>0</v>
      </c>
      <c r="I43" s="85">
        <f>+'Submission Form'!I51</f>
        <v>0</v>
      </c>
      <c r="J43" s="136"/>
      <c r="K43" s="47"/>
      <c r="L43" s="48"/>
      <c r="M43" s="48"/>
      <c r="N43" s="82">
        <f t="shared" si="12"/>
        <v>0</v>
      </c>
      <c r="O43" s="87">
        <f t="shared" si="13"/>
        <v>0</v>
      </c>
      <c r="P43" s="82">
        <f t="shared" si="14"/>
        <v>0</v>
      </c>
      <c r="Q43" s="82">
        <f t="shared" si="15"/>
        <v>0</v>
      </c>
    </row>
    <row r="44" spans="2:17" ht="14.45" customHeight="1" x14ac:dyDescent="0.25">
      <c r="B44" s="34" t="s">
        <v>166</v>
      </c>
      <c r="C44" s="91"/>
      <c r="D44" s="82">
        <f>+'Submission Form'!D52</f>
        <v>0.24100000000000002</v>
      </c>
      <c r="E44" s="83">
        <f>+'Submission Form'!L52</f>
        <v>0</v>
      </c>
      <c r="F44" s="84" t="s">
        <v>30</v>
      </c>
      <c r="G44" s="85">
        <f>+'Submission Form'!G52</f>
        <v>0</v>
      </c>
      <c r="H44" s="86">
        <f>+'Submission Form'!H52</f>
        <v>0</v>
      </c>
      <c r="I44" s="85">
        <f>+'Submission Form'!I52</f>
        <v>0</v>
      </c>
      <c r="J44" s="136"/>
      <c r="K44" s="47"/>
      <c r="L44" s="48"/>
      <c r="M44" s="48"/>
      <c r="N44" s="82">
        <f t="shared" si="12"/>
        <v>0</v>
      </c>
      <c r="O44" s="87">
        <f t="shared" si="13"/>
        <v>0</v>
      </c>
      <c r="P44" s="82">
        <f t="shared" si="14"/>
        <v>0</v>
      </c>
      <c r="Q44" s="82">
        <f t="shared" si="15"/>
        <v>0</v>
      </c>
    </row>
    <row r="45" spans="2:17" ht="14.45" customHeight="1" x14ac:dyDescent="0.25">
      <c r="B45" s="34" t="s">
        <v>167</v>
      </c>
      <c r="C45" s="91"/>
      <c r="D45" s="82">
        <f>+'Submission Form'!D53</f>
        <v>0.08</v>
      </c>
      <c r="E45" s="83">
        <f>+'Submission Form'!L53</f>
        <v>0</v>
      </c>
      <c r="F45" s="84" t="s">
        <v>30</v>
      </c>
      <c r="G45" s="85">
        <f>+'Submission Form'!G53</f>
        <v>0</v>
      </c>
      <c r="H45" s="86">
        <f>+'Submission Form'!H53</f>
        <v>0</v>
      </c>
      <c r="I45" s="85">
        <f>+'Submission Form'!I53</f>
        <v>0</v>
      </c>
      <c r="J45" s="136"/>
      <c r="K45" s="47"/>
      <c r="L45" s="48"/>
      <c r="M45" s="48"/>
      <c r="N45" s="82">
        <f t="shared" si="12"/>
        <v>0</v>
      </c>
      <c r="O45" s="87">
        <f t="shared" si="13"/>
        <v>0</v>
      </c>
      <c r="P45" s="82">
        <f t="shared" si="14"/>
        <v>0</v>
      </c>
      <c r="Q45" s="82">
        <f t="shared" si="15"/>
        <v>0</v>
      </c>
    </row>
    <row r="46" spans="2:17" ht="14.45" customHeight="1" x14ac:dyDescent="0.25">
      <c r="B46" s="34" t="s">
        <v>57</v>
      </c>
      <c r="C46" s="81"/>
      <c r="D46" s="82">
        <f>+'Submission Form'!D54</f>
        <v>0.22559999999999999</v>
      </c>
      <c r="E46" s="83">
        <f>+'Submission Form'!L54</f>
        <v>0</v>
      </c>
      <c r="F46" s="84" t="s">
        <v>30</v>
      </c>
      <c r="G46" s="85">
        <f>+'Submission Form'!G54</f>
        <v>0</v>
      </c>
      <c r="H46" s="86">
        <f>+'Submission Form'!H54</f>
        <v>0</v>
      </c>
      <c r="I46" s="85">
        <f>+'Submission Form'!I54</f>
        <v>0</v>
      </c>
      <c r="J46" s="136"/>
      <c r="K46" s="47"/>
      <c r="L46" s="48"/>
      <c r="M46" s="48"/>
      <c r="N46" s="82">
        <f t="shared" si="12"/>
        <v>0</v>
      </c>
      <c r="O46" s="87">
        <f t="shared" si="13"/>
        <v>0</v>
      </c>
      <c r="P46" s="82">
        <f t="shared" si="14"/>
        <v>0</v>
      </c>
      <c r="Q46" s="82">
        <f t="shared" si="15"/>
        <v>0</v>
      </c>
    </row>
    <row r="47" spans="2:17" ht="4.9000000000000004" customHeight="1" x14ac:dyDescent="0.25">
      <c r="D47" s="90"/>
      <c r="E47" s="90"/>
      <c r="F47" s="90"/>
      <c r="G47" s="8"/>
      <c r="H47" s="8"/>
      <c r="I47" s="90"/>
      <c r="J47" s="90"/>
      <c r="K47" s="90"/>
      <c r="L47" s="90"/>
      <c r="M47" s="90"/>
      <c r="N47" s="90"/>
      <c r="O47" s="90"/>
      <c r="P47" s="90"/>
      <c r="Q47" s="90"/>
    </row>
    <row r="48" spans="2:17" ht="14.45" customHeight="1" x14ac:dyDescent="0.25">
      <c r="B48" s="75" t="s">
        <v>151</v>
      </c>
      <c r="C48" s="76"/>
      <c r="D48" s="76"/>
      <c r="E48" s="76"/>
      <c r="F48" s="76"/>
      <c r="G48" s="77"/>
      <c r="H48" s="77"/>
      <c r="I48" s="76"/>
      <c r="J48" s="76"/>
      <c r="K48" s="76"/>
      <c r="L48" s="76"/>
      <c r="M48" s="76"/>
      <c r="N48" s="76"/>
      <c r="O48" s="76"/>
      <c r="P48" s="76"/>
      <c r="Q48" s="78"/>
    </row>
    <row r="49" spans="2:17" ht="75" x14ac:dyDescent="0.25">
      <c r="B49" s="79" t="s">
        <v>23</v>
      </c>
      <c r="C49" s="79"/>
      <c r="D49" s="18" t="s">
        <v>33</v>
      </c>
      <c r="E49" s="18" t="s">
        <v>112</v>
      </c>
      <c r="F49" s="20"/>
      <c r="G49" s="18" t="s">
        <v>31</v>
      </c>
      <c r="H49" s="18" t="s">
        <v>179</v>
      </c>
      <c r="I49" s="80" t="s">
        <v>111</v>
      </c>
      <c r="J49" s="80"/>
      <c r="K49" s="18" t="s">
        <v>110</v>
      </c>
      <c r="L49" s="18" t="s">
        <v>102</v>
      </c>
      <c r="M49" s="18" t="s">
        <v>103</v>
      </c>
      <c r="N49" s="18" t="s">
        <v>33</v>
      </c>
      <c r="O49" s="18" t="s">
        <v>104</v>
      </c>
      <c r="P49" s="18" t="s">
        <v>94</v>
      </c>
      <c r="Q49" s="18" t="s">
        <v>93</v>
      </c>
    </row>
    <row r="50" spans="2:17" ht="14.45" customHeight="1" x14ac:dyDescent="0.25">
      <c r="B50" s="34" t="s">
        <v>168</v>
      </c>
      <c r="C50" s="81"/>
      <c r="D50" s="82">
        <f>+'Submission Form'!D61</f>
        <v>0.46</v>
      </c>
      <c r="E50" s="83">
        <f>+'Submission Form'!L61</f>
        <v>0</v>
      </c>
      <c r="F50" s="84" t="s">
        <v>30</v>
      </c>
      <c r="G50" s="85">
        <f>+'Submission Form'!G61</f>
        <v>0</v>
      </c>
      <c r="H50" s="86">
        <f>+'Submission Form'!H61</f>
        <v>0</v>
      </c>
      <c r="I50" s="85">
        <f>+'Submission Form'!I61</f>
        <v>0</v>
      </c>
      <c r="J50" s="136"/>
      <c r="K50" s="47"/>
      <c r="L50" s="48"/>
      <c r="M50" s="48"/>
      <c r="N50" s="82">
        <f t="shared" ref="N50" si="16">IF(G50&gt;0,IF($E$16="Estimated kW Savings",D50,(L50-M50)/1000),0)</f>
        <v>0</v>
      </c>
      <c r="O50" s="87">
        <f t="shared" ref="O50" si="17">(N50*G50)*K50*I50</f>
        <v>0</v>
      </c>
      <c r="P50" s="82">
        <f t="shared" ref="P50" si="18">IF(H50&lt;=0,0,IFERROR((H50*G50)/O50,0))</f>
        <v>0</v>
      </c>
      <c r="Q50" s="82">
        <f t="shared" ref="Q50" si="19">IF(H50&lt;=0,0,IFERROR(((H50*G50)-E50)/O50,0))</f>
        <v>0</v>
      </c>
    </row>
    <row r="51" spans="2:17" ht="4.9000000000000004" customHeight="1" x14ac:dyDescent="0.25">
      <c r="D51" s="90"/>
      <c r="E51" s="90"/>
      <c r="F51" s="90"/>
      <c r="G51" s="8"/>
      <c r="H51" s="8"/>
      <c r="I51" s="90"/>
      <c r="J51" s="90"/>
      <c r="K51" s="90"/>
      <c r="L51" s="90"/>
      <c r="M51" s="90"/>
      <c r="N51" s="90"/>
      <c r="O51" s="90"/>
      <c r="P51" s="90"/>
      <c r="Q51" s="90"/>
    </row>
    <row r="52" spans="2:17" ht="14.45" customHeight="1" x14ac:dyDescent="0.25">
      <c r="B52" s="75" t="s">
        <v>27</v>
      </c>
      <c r="C52" s="76"/>
      <c r="D52" s="76"/>
      <c r="E52" s="76"/>
      <c r="F52" s="76"/>
      <c r="G52" s="77"/>
      <c r="H52" s="77"/>
      <c r="I52" s="76"/>
      <c r="J52" s="76"/>
      <c r="K52" s="76"/>
      <c r="L52" s="76"/>
      <c r="M52" s="76"/>
      <c r="N52" s="76"/>
      <c r="O52" s="76"/>
      <c r="P52" s="76"/>
      <c r="Q52" s="78"/>
    </row>
    <row r="53" spans="2:17" ht="75" x14ac:dyDescent="0.25">
      <c r="B53" s="79" t="s">
        <v>23</v>
      </c>
      <c r="C53" s="79"/>
      <c r="D53" s="18" t="s">
        <v>33</v>
      </c>
      <c r="E53" s="18" t="s">
        <v>112</v>
      </c>
      <c r="F53" s="20"/>
      <c r="G53" s="18" t="s">
        <v>31</v>
      </c>
      <c r="H53" s="18" t="s">
        <v>179</v>
      </c>
      <c r="I53" s="80" t="s">
        <v>111</v>
      </c>
      <c r="J53" s="80"/>
      <c r="K53" s="18" t="s">
        <v>110</v>
      </c>
      <c r="L53" s="18" t="s">
        <v>102</v>
      </c>
      <c r="M53" s="18" t="s">
        <v>103</v>
      </c>
      <c r="N53" s="18" t="s">
        <v>33</v>
      </c>
      <c r="O53" s="18" t="s">
        <v>104</v>
      </c>
      <c r="P53" s="18" t="s">
        <v>94</v>
      </c>
      <c r="Q53" s="18" t="s">
        <v>93</v>
      </c>
    </row>
    <row r="54" spans="2:17" ht="14.45" customHeight="1" x14ac:dyDescent="0.25">
      <c r="B54" s="33" t="s">
        <v>24</v>
      </c>
      <c r="C54" s="81"/>
      <c r="D54" s="82">
        <f>+'Submission Form'!D67</f>
        <v>2.7E-2</v>
      </c>
      <c r="E54" s="83">
        <f>+'Submission Form'!L67</f>
        <v>0</v>
      </c>
      <c r="F54" s="84" t="s">
        <v>30</v>
      </c>
      <c r="G54" s="85">
        <f>+'Submission Form'!G67</f>
        <v>0</v>
      </c>
      <c r="H54" s="86">
        <f>+'Submission Form'!H67</f>
        <v>0</v>
      </c>
      <c r="I54" s="85">
        <f>+'Submission Form'!I67</f>
        <v>0</v>
      </c>
      <c r="J54" s="136"/>
      <c r="K54" s="47"/>
      <c r="L54" s="48"/>
      <c r="M54" s="48"/>
      <c r="N54" s="82">
        <f t="shared" ref="N54:N55" si="20">IF(G54&gt;0,IF($E$16="Estimated kW Savings",D54,(L54-M54)/1000),0)</f>
        <v>0</v>
      </c>
      <c r="O54" s="87">
        <f t="shared" ref="O54:O55" si="21">(N54*G54)*K54*I54</f>
        <v>0</v>
      </c>
      <c r="P54" s="82">
        <f t="shared" ref="P54:P55" si="22">IF(H54&lt;=0,0,IFERROR((H54*G54)/O54,0))</f>
        <v>0</v>
      </c>
      <c r="Q54" s="82">
        <f t="shared" ref="Q54:Q55" si="23">IF(H54&lt;=0,0,IFERROR(((H54*G54)-E54)/O54,0))</f>
        <v>0</v>
      </c>
    </row>
    <row r="55" spans="2:17" ht="14.45" customHeight="1" x14ac:dyDescent="0.25">
      <c r="B55" s="33" t="s">
        <v>119</v>
      </c>
      <c r="C55" s="81"/>
      <c r="D55" s="82">
        <f>+'Submission Form'!D68</f>
        <v>0.06</v>
      </c>
      <c r="E55" s="83">
        <f>+'Submission Form'!L68</f>
        <v>0</v>
      </c>
      <c r="F55" s="84" t="s">
        <v>30</v>
      </c>
      <c r="G55" s="85">
        <f>+'Submission Form'!G68</f>
        <v>0</v>
      </c>
      <c r="H55" s="86">
        <f>+'Submission Form'!H68</f>
        <v>0</v>
      </c>
      <c r="I55" s="85">
        <f>+'Submission Form'!I68</f>
        <v>0</v>
      </c>
      <c r="J55" s="136"/>
      <c r="K55" s="47"/>
      <c r="L55" s="48"/>
      <c r="M55" s="48"/>
      <c r="N55" s="82">
        <f t="shared" si="20"/>
        <v>0</v>
      </c>
      <c r="O55" s="87">
        <f t="shared" si="21"/>
        <v>0</v>
      </c>
      <c r="P55" s="82">
        <f t="shared" si="22"/>
        <v>0</v>
      </c>
      <c r="Q55" s="82">
        <f t="shared" si="23"/>
        <v>0</v>
      </c>
    </row>
    <row r="56" spans="2:17" ht="4.9000000000000004" customHeight="1" x14ac:dyDescent="0.25">
      <c r="D56" s="90"/>
      <c r="E56" s="90"/>
      <c r="F56" s="90"/>
      <c r="G56" s="8"/>
      <c r="H56" s="8"/>
      <c r="I56" s="90"/>
      <c r="J56" s="90"/>
      <c r="K56" s="90"/>
      <c r="L56" s="90"/>
      <c r="M56" s="90"/>
      <c r="N56" s="90"/>
      <c r="O56" s="90"/>
      <c r="P56" s="90"/>
      <c r="Q56" s="90"/>
    </row>
    <row r="57" spans="2:17" ht="14.45" customHeight="1" x14ac:dyDescent="0.25">
      <c r="B57" s="75" t="s">
        <v>130</v>
      </c>
      <c r="C57" s="76"/>
      <c r="D57" s="76"/>
      <c r="E57" s="76"/>
      <c r="F57" s="76"/>
      <c r="G57" s="77"/>
      <c r="H57" s="77"/>
      <c r="I57" s="76"/>
      <c r="J57" s="76"/>
      <c r="K57" s="76"/>
      <c r="L57" s="76"/>
      <c r="M57" s="76"/>
      <c r="N57" s="76"/>
      <c r="O57" s="76"/>
      <c r="P57" s="76"/>
      <c r="Q57" s="78"/>
    </row>
    <row r="58" spans="2:17" ht="75" x14ac:dyDescent="0.25">
      <c r="B58" s="79" t="s">
        <v>23</v>
      </c>
      <c r="C58" s="79"/>
      <c r="D58" s="18" t="s">
        <v>33</v>
      </c>
      <c r="E58" s="18" t="s">
        <v>112</v>
      </c>
      <c r="F58" s="20"/>
      <c r="G58" s="18" t="s">
        <v>31</v>
      </c>
      <c r="H58" s="18" t="s">
        <v>179</v>
      </c>
      <c r="I58" s="80" t="s">
        <v>111</v>
      </c>
      <c r="J58" s="80"/>
      <c r="K58" s="18" t="s">
        <v>110</v>
      </c>
      <c r="L58" s="18" t="s">
        <v>102</v>
      </c>
      <c r="M58" s="18" t="s">
        <v>103</v>
      </c>
      <c r="N58" s="18" t="s">
        <v>33</v>
      </c>
      <c r="O58" s="18" t="s">
        <v>104</v>
      </c>
      <c r="P58" s="18" t="s">
        <v>94</v>
      </c>
      <c r="Q58" s="18" t="s">
        <v>93</v>
      </c>
    </row>
    <row r="59" spans="2:17" ht="14.45" customHeight="1" x14ac:dyDescent="0.25">
      <c r="B59" s="35" t="s">
        <v>133</v>
      </c>
      <c r="C59" s="81"/>
      <c r="D59" s="82">
        <f>+'Submission Form'!D77</f>
        <v>0.24</v>
      </c>
      <c r="E59" s="83">
        <f>+'Submission Form'!L77</f>
        <v>0</v>
      </c>
      <c r="F59" s="84" t="s">
        <v>30</v>
      </c>
      <c r="G59" s="85">
        <f>+'Submission Form'!G77</f>
        <v>0</v>
      </c>
      <c r="H59" s="86">
        <f>+'Submission Form'!H77</f>
        <v>0</v>
      </c>
      <c r="I59" s="85">
        <f>+'Submission Form'!I77</f>
        <v>0</v>
      </c>
      <c r="J59" s="136"/>
      <c r="K59" s="47"/>
      <c r="L59" s="48"/>
      <c r="M59" s="48"/>
      <c r="N59" s="82">
        <f t="shared" ref="N59:N60" si="24">IF(G59&gt;0,IF($E$16="Estimated kW Savings",D59,(L59-M59)/1000),0)</f>
        <v>0</v>
      </c>
      <c r="O59" s="87">
        <f t="shared" ref="O59:O60" si="25">(N59*G59)*K59*I59</f>
        <v>0</v>
      </c>
      <c r="P59" s="82">
        <f t="shared" ref="P59:P60" si="26">IF(H59&lt;=0,0,IFERROR((H59*G59)/O59,0))</f>
        <v>0</v>
      </c>
      <c r="Q59" s="82">
        <f t="shared" ref="Q59:Q60" si="27">IF(H59&lt;=0,0,IFERROR(((H59*G59)-E59)/O59,0))</f>
        <v>0</v>
      </c>
    </row>
    <row r="60" spans="2:17" ht="14.45" customHeight="1" x14ac:dyDescent="0.25">
      <c r="B60" s="35" t="s">
        <v>132</v>
      </c>
      <c r="C60" s="81"/>
      <c r="D60" s="82">
        <f>+'Submission Form'!D78</f>
        <v>0.04</v>
      </c>
      <c r="E60" s="83">
        <f>+'Submission Form'!L78</f>
        <v>0</v>
      </c>
      <c r="F60" s="84" t="s">
        <v>30</v>
      </c>
      <c r="G60" s="85">
        <f>+'Submission Form'!G78</f>
        <v>0</v>
      </c>
      <c r="H60" s="86">
        <f>+'Submission Form'!H78</f>
        <v>0</v>
      </c>
      <c r="I60" s="85">
        <f>+'Submission Form'!I78</f>
        <v>0</v>
      </c>
      <c r="J60" s="136"/>
      <c r="K60" s="47"/>
      <c r="L60" s="48"/>
      <c r="M60" s="48"/>
      <c r="N60" s="82">
        <f t="shared" si="24"/>
        <v>0</v>
      </c>
      <c r="O60" s="87">
        <f t="shared" si="25"/>
        <v>0</v>
      </c>
      <c r="P60" s="82">
        <f t="shared" si="26"/>
        <v>0</v>
      </c>
      <c r="Q60" s="82">
        <f t="shared" si="27"/>
        <v>0</v>
      </c>
    </row>
    <row r="61" spans="2:17" ht="4.9000000000000004" customHeight="1" x14ac:dyDescent="0.25">
      <c r="D61" s="90"/>
      <c r="E61" s="90"/>
      <c r="F61" s="90"/>
      <c r="G61" s="8"/>
      <c r="H61" s="8"/>
      <c r="I61" s="90"/>
      <c r="J61" s="90"/>
      <c r="K61" s="90"/>
      <c r="L61" s="90"/>
      <c r="M61" s="90"/>
      <c r="N61" s="90"/>
      <c r="O61" s="90"/>
      <c r="P61" s="90"/>
      <c r="Q61" s="90"/>
    </row>
    <row r="62" spans="2:17" ht="14.45" customHeight="1" x14ac:dyDescent="0.25">
      <c r="B62" s="75" t="s">
        <v>135</v>
      </c>
      <c r="C62" s="76"/>
      <c r="D62" s="76"/>
      <c r="E62" s="76"/>
      <c r="F62" s="76"/>
      <c r="G62" s="77"/>
      <c r="H62" s="77"/>
      <c r="I62" s="76"/>
      <c r="J62" s="76"/>
      <c r="K62" s="76"/>
      <c r="L62" s="76"/>
      <c r="M62" s="76"/>
      <c r="N62" s="76"/>
      <c r="O62" s="76"/>
      <c r="P62" s="76"/>
      <c r="Q62" s="78"/>
    </row>
    <row r="63" spans="2:17" ht="75" x14ac:dyDescent="0.25">
      <c r="B63" s="79" t="s">
        <v>23</v>
      </c>
      <c r="C63" s="79"/>
      <c r="D63" s="18" t="s">
        <v>33</v>
      </c>
      <c r="E63" s="18" t="s">
        <v>112</v>
      </c>
      <c r="F63" s="20"/>
      <c r="G63" s="18" t="s">
        <v>31</v>
      </c>
      <c r="H63" s="18" t="s">
        <v>179</v>
      </c>
      <c r="I63" s="80" t="s">
        <v>111</v>
      </c>
      <c r="J63" s="80"/>
      <c r="K63" s="18" t="s">
        <v>110</v>
      </c>
      <c r="L63" s="18" t="s">
        <v>102</v>
      </c>
      <c r="M63" s="18" t="s">
        <v>103</v>
      </c>
      <c r="N63" s="18" t="s">
        <v>33</v>
      </c>
      <c r="O63" s="18" t="s">
        <v>104</v>
      </c>
      <c r="P63" s="18" t="s">
        <v>94</v>
      </c>
      <c r="Q63" s="18" t="s">
        <v>93</v>
      </c>
    </row>
    <row r="64" spans="2:17" ht="14.45" customHeight="1" x14ac:dyDescent="0.25">
      <c r="B64" s="35" t="s">
        <v>136</v>
      </c>
      <c r="C64" s="81"/>
      <c r="D64" s="82">
        <f>+'Submission Form'!D89</f>
        <v>1.9</v>
      </c>
      <c r="E64" s="83">
        <f>+'Submission Form'!L89</f>
        <v>0</v>
      </c>
      <c r="F64" s="84" t="s">
        <v>30</v>
      </c>
      <c r="G64" s="85">
        <f>+'Submission Form'!G89</f>
        <v>0</v>
      </c>
      <c r="H64" s="86">
        <f>+'Submission Form'!H89</f>
        <v>0</v>
      </c>
      <c r="I64" s="85">
        <f>+'Submission Form'!I89</f>
        <v>0</v>
      </c>
      <c r="J64" s="136"/>
      <c r="K64" s="47"/>
      <c r="L64" s="48"/>
      <c r="M64" s="48"/>
      <c r="N64" s="82">
        <f t="shared" ref="N64:N69" si="28">IF(G64&gt;0,IF($E$16="Estimated kW Savings",D64,(L64-M64)/1000),0)</f>
        <v>0</v>
      </c>
      <c r="O64" s="87">
        <f t="shared" ref="O64:O69" si="29">(N64*G64)*K64*I64</f>
        <v>0</v>
      </c>
      <c r="P64" s="82">
        <f t="shared" ref="P64:P69" si="30">IF(H64&lt;=0,0,IFERROR((H64*G64)/O64,0))</f>
        <v>0</v>
      </c>
      <c r="Q64" s="82">
        <f t="shared" ref="Q64:Q69" si="31">IF(H64&lt;=0,0,IFERROR(((H64*G64)-E64)/O64,0))</f>
        <v>0</v>
      </c>
    </row>
    <row r="65" spans="2:17" ht="14.45" customHeight="1" x14ac:dyDescent="0.25">
      <c r="B65" s="35" t="s">
        <v>137</v>
      </c>
      <c r="C65" s="81"/>
      <c r="D65" s="82">
        <f>+'Submission Form'!D90</f>
        <v>0.8</v>
      </c>
      <c r="E65" s="83">
        <f>+'Submission Form'!L90</f>
        <v>0</v>
      </c>
      <c r="F65" s="84" t="s">
        <v>30</v>
      </c>
      <c r="G65" s="85">
        <f>+'Submission Form'!G90</f>
        <v>0</v>
      </c>
      <c r="H65" s="86">
        <f>+'Submission Form'!H90</f>
        <v>0</v>
      </c>
      <c r="I65" s="85">
        <f>+'Submission Form'!I90</f>
        <v>0</v>
      </c>
      <c r="J65" s="136"/>
      <c r="K65" s="47"/>
      <c r="L65" s="48"/>
      <c r="M65" s="48"/>
      <c r="N65" s="82">
        <f t="shared" si="28"/>
        <v>0</v>
      </c>
      <c r="O65" s="87">
        <f t="shared" si="29"/>
        <v>0</v>
      </c>
      <c r="P65" s="82">
        <f t="shared" si="30"/>
        <v>0</v>
      </c>
      <c r="Q65" s="82">
        <f t="shared" si="31"/>
        <v>0</v>
      </c>
    </row>
    <row r="66" spans="2:17" ht="14.45" customHeight="1" x14ac:dyDescent="0.25">
      <c r="B66" s="34" t="s">
        <v>138</v>
      </c>
      <c r="C66" s="81"/>
      <c r="D66" s="82">
        <f>+'Submission Form'!D91</f>
        <v>0.52</v>
      </c>
      <c r="E66" s="83">
        <f>+'Submission Form'!L91</f>
        <v>0</v>
      </c>
      <c r="F66" s="84" t="s">
        <v>30</v>
      </c>
      <c r="G66" s="85">
        <f>+'Submission Form'!G91</f>
        <v>0</v>
      </c>
      <c r="H66" s="86">
        <f>+'Submission Form'!H91</f>
        <v>0</v>
      </c>
      <c r="I66" s="85">
        <f>+'Submission Form'!I91</f>
        <v>0</v>
      </c>
      <c r="J66" s="136"/>
      <c r="K66" s="47"/>
      <c r="L66" s="48"/>
      <c r="M66" s="48"/>
      <c r="N66" s="82">
        <f t="shared" si="28"/>
        <v>0</v>
      </c>
      <c r="O66" s="87">
        <f t="shared" si="29"/>
        <v>0</v>
      </c>
      <c r="P66" s="82">
        <f t="shared" si="30"/>
        <v>0</v>
      </c>
      <c r="Q66" s="82">
        <f t="shared" si="31"/>
        <v>0</v>
      </c>
    </row>
    <row r="67" spans="2:17" ht="14.45" customHeight="1" x14ac:dyDescent="0.25">
      <c r="B67" s="34" t="s">
        <v>139</v>
      </c>
      <c r="C67" s="81"/>
      <c r="D67" s="82">
        <f>+'Submission Form'!D92</f>
        <v>0.32</v>
      </c>
      <c r="E67" s="83">
        <f>+'Submission Form'!L92</f>
        <v>0</v>
      </c>
      <c r="F67" s="84" t="s">
        <v>30</v>
      </c>
      <c r="G67" s="85">
        <f>+'Submission Form'!G92</f>
        <v>0</v>
      </c>
      <c r="H67" s="86">
        <f>+'Submission Form'!H92</f>
        <v>0</v>
      </c>
      <c r="I67" s="85">
        <f>+'Submission Form'!I92</f>
        <v>0</v>
      </c>
      <c r="J67" s="136"/>
      <c r="K67" s="47"/>
      <c r="L67" s="48"/>
      <c r="M67" s="48"/>
      <c r="N67" s="82">
        <f t="shared" si="28"/>
        <v>0</v>
      </c>
      <c r="O67" s="87">
        <f t="shared" si="29"/>
        <v>0</v>
      </c>
      <c r="P67" s="82">
        <f t="shared" si="30"/>
        <v>0</v>
      </c>
      <c r="Q67" s="82">
        <f t="shared" si="31"/>
        <v>0</v>
      </c>
    </row>
    <row r="68" spans="2:17" ht="14.45" customHeight="1" x14ac:dyDescent="0.25">
      <c r="B68" s="34" t="s">
        <v>140</v>
      </c>
      <c r="C68" s="81"/>
      <c r="D68" s="82">
        <f>+'Submission Form'!D93</f>
        <v>0.22</v>
      </c>
      <c r="E68" s="83">
        <f>+'Submission Form'!L93</f>
        <v>0</v>
      </c>
      <c r="F68" s="84" t="s">
        <v>30</v>
      </c>
      <c r="G68" s="85">
        <f>+'Submission Form'!G93</f>
        <v>0</v>
      </c>
      <c r="H68" s="86">
        <f>+'Submission Form'!H93</f>
        <v>0</v>
      </c>
      <c r="I68" s="85">
        <f>+'Submission Form'!I93</f>
        <v>0</v>
      </c>
      <c r="J68" s="136"/>
      <c r="K68" s="47"/>
      <c r="L68" s="48"/>
      <c r="M68" s="48"/>
      <c r="N68" s="82">
        <f t="shared" si="28"/>
        <v>0</v>
      </c>
      <c r="O68" s="87">
        <f t="shared" si="29"/>
        <v>0</v>
      </c>
      <c r="P68" s="82">
        <f t="shared" si="30"/>
        <v>0</v>
      </c>
      <c r="Q68" s="82">
        <f t="shared" si="31"/>
        <v>0</v>
      </c>
    </row>
    <row r="69" spans="2:17" ht="14.45" customHeight="1" x14ac:dyDescent="0.25">
      <c r="B69" s="34" t="s">
        <v>141</v>
      </c>
      <c r="C69" s="81"/>
      <c r="D69" s="82">
        <f>+'Submission Form'!D94</f>
        <v>0.17599999999999999</v>
      </c>
      <c r="E69" s="83">
        <f>+'Submission Form'!L94</f>
        <v>0</v>
      </c>
      <c r="F69" s="84" t="s">
        <v>30</v>
      </c>
      <c r="G69" s="85">
        <f>+'Submission Form'!G94</f>
        <v>0</v>
      </c>
      <c r="H69" s="86">
        <f>+'Submission Form'!H94</f>
        <v>0</v>
      </c>
      <c r="I69" s="85">
        <f>+'Submission Form'!I94</f>
        <v>0</v>
      </c>
      <c r="J69" s="136"/>
      <c r="K69" s="47"/>
      <c r="L69" s="48"/>
      <c r="M69" s="48"/>
      <c r="N69" s="82">
        <f t="shared" si="28"/>
        <v>0</v>
      </c>
      <c r="O69" s="87">
        <f t="shared" si="29"/>
        <v>0</v>
      </c>
      <c r="P69" s="82">
        <f t="shared" si="30"/>
        <v>0</v>
      </c>
      <c r="Q69" s="82">
        <f t="shared" si="31"/>
        <v>0</v>
      </c>
    </row>
    <row r="70" spans="2:17" x14ac:dyDescent="0.25"/>
    <row r="71" spans="2:17" x14ac:dyDescent="0.25">
      <c r="M71" s="92" t="s">
        <v>95</v>
      </c>
      <c r="N71" s="93"/>
      <c r="O71" s="94">
        <f>SUM(O20:O30,O34:O46,O50,O54:O55,O59:O60,O64:O69)</f>
        <v>0</v>
      </c>
      <c r="P71" s="95"/>
    </row>
    <row r="72" spans="2:17" x14ac:dyDescent="0.25">
      <c r="M72" s="96" t="s">
        <v>127</v>
      </c>
      <c r="N72" s="97"/>
      <c r="O72" s="98">
        <f>IFERROR($O$71/SUMPRODUCT($G$20:$G$69,$H$20:$H$69),0)</f>
        <v>0</v>
      </c>
      <c r="P72" s="99"/>
    </row>
    <row r="73" spans="2:17" x14ac:dyDescent="0.25">
      <c r="M73" s="96" t="s">
        <v>128</v>
      </c>
      <c r="N73" s="97"/>
      <c r="O73" s="98">
        <f>IFERROR($O$71/(SUMPRODUCT($G$20:$G$69,$H$20:$H$69)-SUM($E$20:$E$69)),0)</f>
        <v>0</v>
      </c>
      <c r="P73" s="99"/>
    </row>
    <row r="74" spans="2:17" x14ac:dyDescent="0.25">
      <c r="M74" s="96" t="s">
        <v>109</v>
      </c>
      <c r="N74" s="97"/>
      <c r="O74" s="100">
        <f>IFERROR(SUMPRODUCT($G$20:$G$69,$H$20:$H$69)/$O$71,0)</f>
        <v>0</v>
      </c>
      <c r="P74" s="101" t="s">
        <v>96</v>
      </c>
    </row>
    <row r="75" spans="2:17" x14ac:dyDescent="0.25">
      <c r="M75" s="102" t="s">
        <v>97</v>
      </c>
      <c r="N75" s="103"/>
      <c r="O75" s="104">
        <f>IFERROR((SUMPRODUCT($G$20:$G$69,$H$20:$H$69)-SUM($E$20:$E$69))/$O$71,0)</f>
        <v>0</v>
      </c>
      <c r="P75" s="105" t="s">
        <v>96</v>
      </c>
    </row>
    <row r="76" spans="2:17" x14ac:dyDescent="0.25"/>
    <row r="77" spans="2:17" x14ac:dyDescent="0.25"/>
    <row r="78" spans="2:17" x14ac:dyDescent="0.25"/>
    <row r="79" spans="2:17" x14ac:dyDescent="0.25"/>
    <row r="80" spans="2:17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</sheetData>
  <sheetProtection algorithmName="SHA-512" hashValue="0EMSdGlHKh9tTOYtmCQdocL4OurOUYS3f+gjEGKWLTar3a41gxdW7gYSeqJL7rybC9MCvEUSYsYLWlPVI3RvIA==" saltValue="o351PkLtU75nF0e96+GE9w==" spinCount="100000" sheet="1" objects="1" scenarios="1"/>
  <dataConsolidate/>
  <conditionalFormatting sqref="L19:M19">
    <cfRule type="expression" dxfId="11" priority="54">
      <formula>$E$16="Estimated kW Savings"</formula>
    </cfRule>
  </conditionalFormatting>
  <conditionalFormatting sqref="L20:M30">
    <cfRule type="expression" dxfId="10" priority="17">
      <formula>$E$16="Estimated kW Savings"</formula>
    </cfRule>
  </conditionalFormatting>
  <conditionalFormatting sqref="L33:M33">
    <cfRule type="expression" dxfId="9" priority="15">
      <formula>$E$16="Estimated kW Savings"</formula>
    </cfRule>
  </conditionalFormatting>
  <conditionalFormatting sqref="L34:M46">
    <cfRule type="expression" dxfId="8" priority="16">
      <formula>$E$16="Estimated kW Savings"</formula>
    </cfRule>
  </conditionalFormatting>
  <conditionalFormatting sqref="L49:M49">
    <cfRule type="expression" dxfId="7" priority="8">
      <formula>$E$16="Estimated kW Savings"</formula>
    </cfRule>
  </conditionalFormatting>
  <conditionalFormatting sqref="L50:M50">
    <cfRule type="expression" dxfId="6" priority="14">
      <formula>$E$16="Estimated kW Savings"</formula>
    </cfRule>
  </conditionalFormatting>
  <conditionalFormatting sqref="L53:M53">
    <cfRule type="expression" dxfId="5" priority="7">
      <formula>$E$16="Estimated kW Savings"</formula>
    </cfRule>
  </conditionalFormatting>
  <conditionalFormatting sqref="L54:M55">
    <cfRule type="expression" dxfId="4" priority="12">
      <formula>$E$16="Estimated kW Savings"</formula>
    </cfRule>
  </conditionalFormatting>
  <conditionalFormatting sqref="L58:M58">
    <cfRule type="expression" dxfId="3" priority="6">
      <formula>$E$16="Estimated kW Savings"</formula>
    </cfRule>
  </conditionalFormatting>
  <conditionalFormatting sqref="L59:M60">
    <cfRule type="expression" dxfId="2" priority="10">
      <formula>$E$16="Estimated kW Savings"</formula>
    </cfRule>
  </conditionalFormatting>
  <conditionalFormatting sqref="L63:M63">
    <cfRule type="expression" dxfId="1" priority="5">
      <formula>$E$16="Estimated kW Savings"</formula>
    </cfRule>
  </conditionalFormatting>
  <conditionalFormatting sqref="L64:M69">
    <cfRule type="expression" dxfId="0" priority="9">
      <formula>$E$16="Estimated kW Savings"</formula>
    </cfRule>
  </conditionalFormatting>
  <dataValidations count="1">
    <dataValidation type="list" allowBlank="1" showInputMessage="1" showErrorMessage="1" sqref="E16" xr:uid="{00000000-0002-0000-0200-000000000000}">
      <formula1>"Estimated kW Savings,Manual Input"</formula1>
    </dataValidation>
  </dataValidations>
  <printOptions horizontalCentered="1"/>
  <pageMargins left="0.25" right="0.25" top="0.75" bottom="0.75" header="0.3" footer="0.3"/>
  <pageSetup scale="67" orientation="landscape" r:id="rId1"/>
  <headerFooter>
    <oddFooter>&amp;LPre-Authorized Comm. Lighting&amp;RPage &amp;P of &amp;N</oddFooter>
  </headerFooter>
  <rowBreaks count="1" manualBreakCount="1">
    <brk id="47" min="1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B1:AK47"/>
  <sheetViews>
    <sheetView topLeftCell="I23" zoomScaleNormal="100" workbookViewId="0">
      <selection activeCell="O37" sqref="O37"/>
    </sheetView>
  </sheetViews>
  <sheetFormatPr defaultColWidth="8.85546875" defaultRowHeight="15" x14ac:dyDescent="0.25"/>
  <cols>
    <col min="1" max="1" width="3.28515625" style="1" customWidth="1"/>
    <col min="2" max="2" width="27.140625" style="1" bestFit="1" customWidth="1"/>
    <col min="3" max="3" width="25.42578125" style="1" bestFit="1" customWidth="1"/>
    <col min="4" max="4" width="55.85546875" style="1" bestFit="1" customWidth="1"/>
    <col min="5" max="5" width="12.5703125" style="1" bestFit="1" customWidth="1"/>
    <col min="6" max="7" width="12.7109375" style="1" customWidth="1"/>
    <col min="8" max="8" width="2.28515625" style="1" customWidth="1"/>
    <col min="9" max="9" width="47.42578125" style="1" bestFit="1" customWidth="1"/>
    <col min="10" max="13" width="12.7109375" style="1" customWidth="1"/>
    <col min="14" max="14" width="3.28515625" style="1" customWidth="1"/>
    <col min="15" max="17" width="12.7109375" style="1" customWidth="1"/>
    <col min="18" max="18" width="3.28515625" style="1" customWidth="1"/>
    <col min="19" max="21" width="12.7109375" style="1" customWidth="1"/>
    <col min="22" max="22" width="3.28515625" style="1" customWidth="1"/>
    <col min="23" max="37" width="12.7109375" style="1" customWidth="1"/>
    <col min="38" max="16384" width="8.85546875" style="1"/>
  </cols>
  <sheetData>
    <row r="1" spans="2:37" x14ac:dyDescent="0.25">
      <c r="B1" s="149" t="s">
        <v>210</v>
      </c>
      <c r="C1" s="149"/>
      <c r="D1" s="149"/>
      <c r="E1" s="149"/>
      <c r="F1" s="149"/>
      <c r="G1" s="149"/>
      <c r="I1" s="151" t="s">
        <v>60</v>
      </c>
      <c r="J1" s="151"/>
      <c r="K1" s="151"/>
      <c r="L1" s="151"/>
      <c r="M1" s="151"/>
      <c r="O1" s="149" t="s">
        <v>209</v>
      </c>
      <c r="P1" s="149"/>
      <c r="Q1" s="149"/>
      <c r="S1" s="149"/>
      <c r="T1" s="149"/>
      <c r="U1" s="149"/>
      <c r="W1" s="150" t="s">
        <v>211</v>
      </c>
      <c r="X1" s="149"/>
      <c r="Y1" s="149"/>
      <c r="Z1" s="149"/>
      <c r="AA1" s="149"/>
      <c r="AB1" s="149"/>
      <c r="AC1" s="149"/>
      <c r="AD1" s="149"/>
      <c r="AE1" s="149"/>
    </row>
    <row r="2" spans="2:37" ht="60" x14ac:dyDescent="0.25">
      <c r="B2" s="20" t="s">
        <v>37</v>
      </c>
      <c r="C2" s="20" t="s">
        <v>39</v>
      </c>
      <c r="D2" s="20" t="s">
        <v>61</v>
      </c>
      <c r="E2" s="20" t="s">
        <v>38</v>
      </c>
      <c r="F2" s="18" t="s">
        <v>41</v>
      </c>
      <c r="G2" s="18" t="s">
        <v>45</v>
      </c>
      <c r="I2" s="20" t="s">
        <v>60</v>
      </c>
      <c r="J2" s="20" t="s">
        <v>38</v>
      </c>
      <c r="K2" s="18" t="s">
        <v>62</v>
      </c>
      <c r="L2" s="18" t="s">
        <v>63</v>
      </c>
      <c r="M2" s="18" t="s">
        <v>42</v>
      </c>
      <c r="O2" s="18" t="s">
        <v>73</v>
      </c>
      <c r="P2" s="18" t="s">
        <v>74</v>
      </c>
      <c r="Q2" s="18" t="s">
        <v>75</v>
      </c>
      <c r="S2" s="18" t="s">
        <v>86</v>
      </c>
      <c r="T2" s="18" t="s">
        <v>76</v>
      </c>
      <c r="U2" s="18" t="s">
        <v>77</v>
      </c>
      <c r="W2" s="18" t="s">
        <v>72</v>
      </c>
      <c r="X2" s="18" t="s">
        <v>78</v>
      </c>
      <c r="Y2" s="18" t="s">
        <v>79</v>
      </c>
      <c r="Z2" s="18" t="s">
        <v>80</v>
      </c>
      <c r="AA2" s="18" t="s">
        <v>81</v>
      </c>
      <c r="AB2" s="18" t="s">
        <v>82</v>
      </c>
      <c r="AC2" s="18" t="s">
        <v>83</v>
      </c>
      <c r="AD2" s="18" t="s">
        <v>84</v>
      </c>
      <c r="AE2" s="18" t="s">
        <v>85</v>
      </c>
      <c r="AF2" s="18"/>
      <c r="AG2" s="18"/>
      <c r="AH2" s="18"/>
      <c r="AI2" s="18"/>
      <c r="AJ2" s="18"/>
      <c r="AK2" s="18"/>
    </row>
    <row r="3" spans="2:37" x14ac:dyDescent="0.25">
      <c r="B3" s="34" t="s">
        <v>197</v>
      </c>
      <c r="C3" s="34" t="s">
        <v>40</v>
      </c>
      <c r="D3" s="34" t="s">
        <v>191</v>
      </c>
      <c r="E3" s="38" t="s">
        <v>46</v>
      </c>
      <c r="F3" s="39">
        <v>36.5</v>
      </c>
      <c r="G3" s="36">
        <v>29.99</v>
      </c>
      <c r="I3" s="34" t="s">
        <v>64</v>
      </c>
      <c r="J3" s="38" t="s">
        <v>65</v>
      </c>
      <c r="K3" s="39">
        <v>86</v>
      </c>
      <c r="L3" s="36">
        <v>8.3699999999999992</v>
      </c>
      <c r="M3" s="37"/>
      <c r="O3" s="43">
        <f>(K3-F3)/1000</f>
        <v>4.9500000000000002E-2</v>
      </c>
      <c r="P3" s="44">
        <v>125</v>
      </c>
      <c r="Q3" s="45">
        <f>ROUND(O3*P3,0)</f>
        <v>6</v>
      </c>
      <c r="S3" s="36">
        <f>+G3-L3</f>
        <v>21.619999999999997</v>
      </c>
      <c r="T3" s="46">
        <f>+Q3/S3</f>
        <v>0.27752081406105461</v>
      </c>
      <c r="U3" s="46">
        <f>+Q3/G3</f>
        <v>0.20006668889629878</v>
      </c>
      <c r="W3" s="42">
        <v>7.8289999999999998E-2</v>
      </c>
    </row>
    <row r="4" spans="2:37" x14ac:dyDescent="0.25">
      <c r="B4" s="34" t="s">
        <v>197</v>
      </c>
      <c r="C4" s="34" t="s">
        <v>40</v>
      </c>
      <c r="D4" s="34" t="s">
        <v>193</v>
      </c>
      <c r="E4" s="38"/>
      <c r="F4" s="39"/>
      <c r="G4" s="36"/>
      <c r="I4" s="34"/>
      <c r="J4" s="38"/>
      <c r="K4" s="39"/>
      <c r="L4" s="36"/>
      <c r="M4" s="37"/>
      <c r="O4" s="43">
        <v>2.8000000000000001E-2</v>
      </c>
      <c r="P4" s="44">
        <v>125</v>
      </c>
      <c r="Q4" s="45">
        <f>ROUND(O4*P4,0)</f>
        <v>4</v>
      </c>
      <c r="S4" s="36"/>
      <c r="T4" s="46"/>
      <c r="U4" s="46"/>
      <c r="W4" s="42"/>
    </row>
    <row r="5" spans="2:37" x14ac:dyDescent="0.25">
      <c r="B5" s="34" t="s">
        <v>197</v>
      </c>
      <c r="C5" s="34" t="s">
        <v>40</v>
      </c>
      <c r="D5" s="35" t="s">
        <v>190</v>
      </c>
      <c r="E5" s="38" t="s">
        <v>46</v>
      </c>
      <c r="F5" s="39">
        <v>15.89</v>
      </c>
      <c r="G5" s="36">
        <v>10.73</v>
      </c>
      <c r="I5" s="34" t="s">
        <v>88</v>
      </c>
      <c r="J5" s="38" t="s">
        <v>65</v>
      </c>
      <c r="K5" s="39">
        <v>28</v>
      </c>
      <c r="L5" s="36">
        <v>5.48</v>
      </c>
      <c r="M5" s="37"/>
      <c r="O5" s="43">
        <f t="shared" ref="O5:O27" si="0">(K5-F5)/1000</f>
        <v>1.2109999999999999E-2</v>
      </c>
      <c r="P5" s="44">
        <v>125</v>
      </c>
      <c r="Q5" s="45">
        <f>ROUND(O5*P5,1)</f>
        <v>1.5</v>
      </c>
      <c r="S5" s="36">
        <f t="shared" ref="S5:S26" si="1">+G5-L5</f>
        <v>5.25</v>
      </c>
      <c r="T5" s="46">
        <f t="shared" ref="T5:T19" si="2">+Q5/S5</f>
        <v>0.2857142857142857</v>
      </c>
      <c r="U5" s="46">
        <f t="shared" ref="U5:U19" si="3">+Q5/G5</f>
        <v>0.13979496738117428</v>
      </c>
      <c r="W5" s="42">
        <v>7.8289999999999998E-2</v>
      </c>
    </row>
    <row r="6" spans="2:37" x14ac:dyDescent="0.25">
      <c r="B6" s="34" t="s">
        <v>197</v>
      </c>
      <c r="C6" s="34" t="s">
        <v>40</v>
      </c>
      <c r="D6" s="34" t="s">
        <v>170</v>
      </c>
      <c r="E6" s="38"/>
      <c r="F6" s="39">
        <v>15.89</v>
      </c>
      <c r="G6" s="36">
        <v>10.73</v>
      </c>
      <c r="I6" s="34" t="s">
        <v>88</v>
      </c>
      <c r="J6" s="38" t="s">
        <v>65</v>
      </c>
      <c r="K6" s="39">
        <v>28</v>
      </c>
      <c r="L6" s="36">
        <v>5.48</v>
      </c>
      <c r="M6" s="37"/>
      <c r="O6" s="43">
        <f t="shared" si="0"/>
        <v>1.2109999999999999E-2</v>
      </c>
      <c r="P6" s="139">
        <v>250</v>
      </c>
      <c r="Q6" s="140">
        <v>1</v>
      </c>
      <c r="S6" s="36">
        <f t="shared" si="1"/>
        <v>5.25</v>
      </c>
      <c r="T6" s="46">
        <f t="shared" si="2"/>
        <v>0.19047619047619047</v>
      </c>
      <c r="U6" s="46">
        <f t="shared" si="3"/>
        <v>9.3196644920782848E-2</v>
      </c>
      <c r="W6" s="141">
        <v>7.8289999999999998E-2</v>
      </c>
    </row>
    <row r="7" spans="2:37" x14ac:dyDescent="0.25">
      <c r="B7" s="34" t="s">
        <v>197</v>
      </c>
      <c r="C7" s="34" t="s">
        <v>40</v>
      </c>
      <c r="D7" s="34" t="s">
        <v>192</v>
      </c>
      <c r="E7" s="38" t="s">
        <v>46</v>
      </c>
      <c r="F7" s="39">
        <v>8.5</v>
      </c>
      <c r="G7" s="36">
        <v>9.6</v>
      </c>
      <c r="I7" s="34" t="s">
        <v>26</v>
      </c>
      <c r="J7" s="38" t="s">
        <v>65</v>
      </c>
      <c r="K7" s="39">
        <v>17</v>
      </c>
      <c r="L7" s="36">
        <v>1.92</v>
      </c>
      <c r="M7" s="37"/>
      <c r="O7" s="43">
        <f t="shared" si="0"/>
        <v>8.5000000000000006E-3</v>
      </c>
      <c r="P7" s="44">
        <v>100</v>
      </c>
      <c r="Q7" s="45">
        <f t="shared" ref="Q7:Q37" si="4">ROUND(O7*P7,0)</f>
        <v>1</v>
      </c>
      <c r="S7" s="36">
        <f t="shared" si="1"/>
        <v>7.68</v>
      </c>
      <c r="T7" s="46">
        <f t="shared" si="2"/>
        <v>0.13020833333333334</v>
      </c>
      <c r="U7" s="46">
        <f t="shared" si="3"/>
        <v>0.10416666666666667</v>
      </c>
      <c r="W7" s="42">
        <v>7.8289999999999998E-2</v>
      </c>
    </row>
    <row r="8" spans="2:37" x14ac:dyDescent="0.25">
      <c r="B8" s="34" t="s">
        <v>197</v>
      </c>
      <c r="C8" s="34" t="s">
        <v>50</v>
      </c>
      <c r="D8" s="34" t="s">
        <v>162</v>
      </c>
      <c r="E8" s="38" t="s">
        <v>46</v>
      </c>
      <c r="F8" s="39">
        <v>16.5</v>
      </c>
      <c r="G8" s="36">
        <v>19.989999999999998</v>
      </c>
      <c r="I8" s="34" t="s">
        <v>49</v>
      </c>
      <c r="J8" s="38" t="s">
        <v>65</v>
      </c>
      <c r="K8" s="39">
        <v>32</v>
      </c>
      <c r="L8" s="36">
        <v>6.46</v>
      </c>
      <c r="M8" s="37"/>
      <c r="O8" s="43">
        <f t="shared" si="0"/>
        <v>1.55E-2</v>
      </c>
      <c r="P8" s="44">
        <v>125</v>
      </c>
      <c r="Q8" s="45">
        <f t="shared" si="4"/>
        <v>2</v>
      </c>
      <c r="S8" s="36">
        <f t="shared" si="1"/>
        <v>13.529999999999998</v>
      </c>
      <c r="T8" s="46">
        <f t="shared" si="2"/>
        <v>0.147819660014782</v>
      </c>
      <c r="U8" s="46">
        <f t="shared" si="3"/>
        <v>0.10005002501250626</v>
      </c>
      <c r="W8" s="42">
        <v>7.8289999999999998E-2</v>
      </c>
    </row>
    <row r="9" spans="2:37" x14ac:dyDescent="0.25">
      <c r="B9" s="34" t="s">
        <v>197</v>
      </c>
      <c r="C9" s="34" t="s">
        <v>47</v>
      </c>
      <c r="D9" s="34" t="s">
        <v>161</v>
      </c>
      <c r="E9" s="38" t="s">
        <v>46</v>
      </c>
      <c r="F9" s="39">
        <v>12</v>
      </c>
      <c r="G9" s="36">
        <v>8</v>
      </c>
      <c r="I9" s="34" t="s">
        <v>48</v>
      </c>
      <c r="J9" s="38" t="s">
        <v>66</v>
      </c>
      <c r="K9" s="39">
        <v>43</v>
      </c>
      <c r="L9" s="36">
        <v>3</v>
      </c>
      <c r="M9" s="37"/>
      <c r="N9" s="40"/>
      <c r="O9" s="43">
        <f t="shared" si="0"/>
        <v>3.1E-2</v>
      </c>
      <c r="P9" s="139">
        <v>258.06451612903226</v>
      </c>
      <c r="Q9" s="140">
        <f t="shared" si="4"/>
        <v>8</v>
      </c>
      <c r="R9" s="40"/>
      <c r="S9" s="36">
        <f t="shared" si="1"/>
        <v>5</v>
      </c>
      <c r="T9" s="46">
        <f t="shared" si="2"/>
        <v>1.6</v>
      </c>
      <c r="U9" s="46">
        <f t="shared" si="3"/>
        <v>1</v>
      </c>
      <c r="V9" s="40"/>
      <c r="W9" s="141">
        <v>7.8289999999999998E-2</v>
      </c>
    </row>
    <row r="10" spans="2:37" x14ac:dyDescent="0.25">
      <c r="B10" s="34" t="s">
        <v>197</v>
      </c>
      <c r="C10" s="34" t="s">
        <v>171</v>
      </c>
      <c r="D10" s="34" t="s">
        <v>174</v>
      </c>
      <c r="E10" s="38" t="s">
        <v>46</v>
      </c>
      <c r="F10" s="39">
        <v>40</v>
      </c>
      <c r="G10" s="36"/>
      <c r="I10" s="34" t="s">
        <v>172</v>
      </c>
      <c r="J10" s="38" t="s">
        <v>66</v>
      </c>
      <c r="K10" s="39">
        <v>140</v>
      </c>
      <c r="L10" s="36">
        <v>3</v>
      </c>
      <c r="M10" s="37"/>
      <c r="N10" s="40"/>
      <c r="O10" s="43">
        <f t="shared" si="0"/>
        <v>0.1</v>
      </c>
      <c r="P10" s="139">
        <v>250</v>
      </c>
      <c r="Q10" s="140">
        <f t="shared" ref="Q10" si="5">ROUND(O10*P10,0)</f>
        <v>25</v>
      </c>
      <c r="R10" s="40"/>
      <c r="S10" s="36">
        <f t="shared" si="1"/>
        <v>-3</v>
      </c>
      <c r="T10" s="46">
        <f t="shared" si="2"/>
        <v>-8.3333333333333339</v>
      </c>
      <c r="U10" s="46" t="e">
        <f t="shared" si="3"/>
        <v>#DIV/0!</v>
      </c>
      <c r="V10" s="40"/>
      <c r="W10" s="141">
        <v>7.8289999999999998E-2</v>
      </c>
    </row>
    <row r="11" spans="2:37" x14ac:dyDescent="0.25">
      <c r="B11" s="34" t="s">
        <v>197</v>
      </c>
      <c r="C11" s="34" t="s">
        <v>171</v>
      </c>
      <c r="D11" s="34" t="s">
        <v>175</v>
      </c>
      <c r="E11" s="38" t="s">
        <v>46</v>
      </c>
      <c r="F11" s="39">
        <v>71</v>
      </c>
      <c r="G11" s="36"/>
      <c r="I11" s="34" t="s">
        <v>172</v>
      </c>
      <c r="J11" s="38" t="s">
        <v>66</v>
      </c>
      <c r="K11" s="39">
        <v>205</v>
      </c>
      <c r="L11" s="36">
        <v>3</v>
      </c>
      <c r="M11" s="37"/>
      <c r="N11" s="40"/>
      <c r="O11" s="43">
        <f t="shared" si="0"/>
        <v>0.13400000000000001</v>
      </c>
      <c r="P11" s="139">
        <v>250</v>
      </c>
      <c r="Q11" s="140">
        <f t="shared" ref="Q11:Q13" si="6">ROUND(O11*P11,0)</f>
        <v>34</v>
      </c>
      <c r="R11" s="40"/>
      <c r="S11" s="36">
        <f t="shared" si="1"/>
        <v>-3</v>
      </c>
      <c r="T11" s="46">
        <f t="shared" si="2"/>
        <v>-11.333333333333334</v>
      </c>
      <c r="U11" s="46" t="e">
        <f t="shared" si="3"/>
        <v>#DIV/0!</v>
      </c>
      <c r="V11" s="40"/>
      <c r="W11" s="141">
        <v>7.8289999999999998E-2</v>
      </c>
    </row>
    <row r="12" spans="2:37" x14ac:dyDescent="0.25">
      <c r="B12" s="34" t="s">
        <v>197</v>
      </c>
      <c r="C12" s="34" t="s">
        <v>171</v>
      </c>
      <c r="D12" s="34" t="s">
        <v>176</v>
      </c>
      <c r="E12" s="38" t="s">
        <v>46</v>
      </c>
      <c r="F12" s="39">
        <v>110</v>
      </c>
      <c r="G12" s="36"/>
      <c r="I12" s="34" t="s">
        <v>172</v>
      </c>
      <c r="J12" s="38" t="s">
        <v>66</v>
      </c>
      <c r="K12" s="39">
        <v>329</v>
      </c>
      <c r="L12" s="36">
        <v>3</v>
      </c>
      <c r="M12" s="37"/>
      <c r="N12" s="40"/>
      <c r="O12" s="43">
        <f t="shared" si="0"/>
        <v>0.219</v>
      </c>
      <c r="P12" s="139">
        <v>250</v>
      </c>
      <c r="Q12" s="140">
        <f t="shared" si="6"/>
        <v>55</v>
      </c>
      <c r="R12" s="40"/>
      <c r="S12" s="36">
        <f t="shared" si="1"/>
        <v>-3</v>
      </c>
      <c r="T12" s="46">
        <f t="shared" si="2"/>
        <v>-18.333333333333332</v>
      </c>
      <c r="U12" s="46" t="e">
        <f t="shared" si="3"/>
        <v>#DIV/0!</v>
      </c>
      <c r="V12" s="40"/>
      <c r="W12" s="141">
        <v>7.8289999999999998E-2</v>
      </c>
    </row>
    <row r="13" spans="2:37" x14ac:dyDescent="0.25">
      <c r="B13" s="34" t="s">
        <v>197</v>
      </c>
      <c r="C13" s="34" t="s">
        <v>171</v>
      </c>
      <c r="D13" s="34" t="s">
        <v>177</v>
      </c>
      <c r="E13" s="38" t="s">
        <v>46</v>
      </c>
      <c r="F13" s="39">
        <v>175</v>
      </c>
      <c r="G13" s="36"/>
      <c r="I13" s="34" t="s">
        <v>172</v>
      </c>
      <c r="J13" s="38" t="s">
        <v>66</v>
      </c>
      <c r="K13" s="39">
        <v>458</v>
      </c>
      <c r="L13" s="36">
        <v>3</v>
      </c>
      <c r="M13" s="37"/>
      <c r="N13" s="40"/>
      <c r="O13" s="43">
        <f t="shared" si="0"/>
        <v>0.28299999999999997</v>
      </c>
      <c r="P13" s="139">
        <v>250</v>
      </c>
      <c r="Q13" s="140">
        <f t="shared" si="6"/>
        <v>71</v>
      </c>
      <c r="R13" s="40"/>
      <c r="S13" s="36">
        <f t="shared" si="1"/>
        <v>-3</v>
      </c>
      <c r="T13" s="46">
        <f t="shared" si="2"/>
        <v>-23.666666666666668</v>
      </c>
      <c r="U13" s="46" t="e">
        <f t="shared" si="3"/>
        <v>#DIV/0!</v>
      </c>
      <c r="V13" s="40"/>
      <c r="W13" s="141">
        <v>7.8289999999999998E-2</v>
      </c>
    </row>
    <row r="14" spans="2:37" x14ac:dyDescent="0.25">
      <c r="B14" s="34" t="s">
        <v>197</v>
      </c>
      <c r="C14" s="34" t="s">
        <v>52</v>
      </c>
      <c r="D14" s="34" t="s">
        <v>160</v>
      </c>
      <c r="E14" s="38" t="s">
        <v>46</v>
      </c>
      <c r="F14" s="39">
        <v>13.22</v>
      </c>
      <c r="G14" s="36">
        <v>32.200000000000003</v>
      </c>
      <c r="I14" s="34" t="s">
        <v>67</v>
      </c>
      <c r="J14" s="38" t="s">
        <v>28</v>
      </c>
      <c r="K14" s="39">
        <v>68.56</v>
      </c>
      <c r="L14" s="36">
        <v>1.25</v>
      </c>
      <c r="M14" s="37"/>
      <c r="O14" s="43">
        <f t="shared" si="0"/>
        <v>5.534E-2</v>
      </c>
      <c r="P14" s="44">
        <v>250</v>
      </c>
      <c r="Q14" s="45">
        <f t="shared" si="4"/>
        <v>14</v>
      </c>
      <c r="S14" s="36">
        <f t="shared" si="1"/>
        <v>30.950000000000003</v>
      </c>
      <c r="T14" s="46">
        <f t="shared" si="2"/>
        <v>0.45234248788368331</v>
      </c>
      <c r="U14" s="46">
        <f t="shared" si="3"/>
        <v>0.43478260869565216</v>
      </c>
      <c r="W14" s="42">
        <v>7.8289999999999998E-2</v>
      </c>
    </row>
    <row r="15" spans="2:37" x14ac:dyDescent="0.25">
      <c r="B15" s="34" t="s">
        <v>197</v>
      </c>
      <c r="C15" s="34" t="s">
        <v>53</v>
      </c>
      <c r="D15" s="34" t="s">
        <v>159</v>
      </c>
      <c r="E15" s="38" t="s">
        <v>43</v>
      </c>
      <c r="F15" s="39">
        <v>25</v>
      </c>
      <c r="G15" s="36">
        <v>83.55</v>
      </c>
      <c r="I15" s="34" t="s">
        <v>68</v>
      </c>
      <c r="J15" s="38" t="s">
        <v>28</v>
      </c>
      <c r="K15" s="39">
        <v>228.57</v>
      </c>
      <c r="L15" s="36">
        <v>3</v>
      </c>
      <c r="M15" s="37"/>
      <c r="O15" s="43">
        <f t="shared" si="0"/>
        <v>0.20357</v>
      </c>
      <c r="P15" s="44">
        <v>250</v>
      </c>
      <c r="Q15" s="45">
        <f t="shared" si="4"/>
        <v>51</v>
      </c>
      <c r="S15" s="36">
        <f t="shared" si="1"/>
        <v>80.55</v>
      </c>
      <c r="T15" s="46">
        <f t="shared" si="2"/>
        <v>0.63314711359404097</v>
      </c>
      <c r="U15" s="46">
        <f t="shared" si="3"/>
        <v>0.61041292639138245</v>
      </c>
      <c r="W15" s="42">
        <v>7.8289999999999998E-2</v>
      </c>
    </row>
    <row r="16" spans="2:37" x14ac:dyDescent="0.25">
      <c r="B16" s="34" t="s">
        <v>197</v>
      </c>
      <c r="C16" s="34" t="s">
        <v>51</v>
      </c>
      <c r="D16" s="34" t="s">
        <v>158</v>
      </c>
      <c r="E16" s="38" t="s">
        <v>43</v>
      </c>
      <c r="F16" s="39">
        <v>37</v>
      </c>
      <c r="G16" s="36">
        <v>90.43</v>
      </c>
      <c r="I16" s="34" t="s">
        <v>98</v>
      </c>
      <c r="J16" s="38" t="s">
        <v>65</v>
      </c>
      <c r="K16" s="39">
        <v>56.3</v>
      </c>
      <c r="L16" s="36">
        <v>60.13</v>
      </c>
      <c r="M16" s="37"/>
      <c r="O16" s="43">
        <f t="shared" si="0"/>
        <v>1.9299999999999998E-2</v>
      </c>
      <c r="P16" s="44">
        <v>500</v>
      </c>
      <c r="Q16" s="45">
        <f t="shared" si="4"/>
        <v>10</v>
      </c>
      <c r="S16" s="36">
        <f t="shared" si="1"/>
        <v>30.300000000000004</v>
      </c>
      <c r="T16" s="46">
        <f t="shared" si="2"/>
        <v>0.33003300330032997</v>
      </c>
      <c r="U16" s="46">
        <f t="shared" si="3"/>
        <v>0.11058277120424637</v>
      </c>
      <c r="W16" s="42">
        <v>7.8289999999999998E-2</v>
      </c>
    </row>
    <row r="17" spans="2:25" x14ac:dyDescent="0.25">
      <c r="B17" s="34" t="s">
        <v>197</v>
      </c>
      <c r="C17" s="34" t="s">
        <v>44</v>
      </c>
      <c r="D17" s="35" t="s">
        <v>155</v>
      </c>
      <c r="E17" s="38" t="s">
        <v>43</v>
      </c>
      <c r="F17" s="39">
        <v>40</v>
      </c>
      <c r="G17" s="36">
        <v>136.41</v>
      </c>
      <c r="I17" s="34" t="s">
        <v>99</v>
      </c>
      <c r="J17" s="38" t="s">
        <v>65</v>
      </c>
      <c r="K17" s="39">
        <v>55</v>
      </c>
      <c r="L17" s="36">
        <v>113.89</v>
      </c>
      <c r="M17" s="34"/>
      <c r="O17" s="43">
        <f t="shared" si="0"/>
        <v>1.4999999999999999E-2</v>
      </c>
      <c r="P17" s="44">
        <v>650</v>
      </c>
      <c r="Q17" s="45">
        <f t="shared" si="4"/>
        <v>10</v>
      </c>
      <c r="S17" s="36">
        <f t="shared" si="1"/>
        <v>22.519999999999996</v>
      </c>
      <c r="T17" s="46">
        <f t="shared" si="2"/>
        <v>0.44404973357015992</v>
      </c>
      <c r="U17" s="46">
        <f t="shared" si="3"/>
        <v>7.3308408474452025E-2</v>
      </c>
      <c r="W17" s="42">
        <v>7.8289999999999998E-2</v>
      </c>
    </row>
    <row r="18" spans="2:25" x14ac:dyDescent="0.25">
      <c r="B18" s="34" t="s">
        <v>197</v>
      </c>
      <c r="C18" s="34" t="s">
        <v>44</v>
      </c>
      <c r="D18" s="35" t="s">
        <v>156</v>
      </c>
      <c r="E18" s="38" t="s">
        <v>43</v>
      </c>
      <c r="F18" s="39">
        <v>32.909999999999997</v>
      </c>
      <c r="G18" s="36">
        <v>131.38</v>
      </c>
      <c r="I18" s="34" t="s">
        <v>69</v>
      </c>
      <c r="J18" s="38" t="s">
        <v>65</v>
      </c>
      <c r="K18" s="39">
        <v>55</v>
      </c>
      <c r="L18" s="36">
        <v>107.12</v>
      </c>
      <c r="M18" s="34"/>
      <c r="O18" s="43">
        <f t="shared" si="0"/>
        <v>2.2090000000000002E-2</v>
      </c>
      <c r="P18" s="44">
        <v>450</v>
      </c>
      <c r="Q18" s="45">
        <f t="shared" si="4"/>
        <v>10</v>
      </c>
      <c r="S18" s="36">
        <f t="shared" si="1"/>
        <v>24.259999999999991</v>
      </c>
      <c r="T18" s="46">
        <f t="shared" si="2"/>
        <v>0.41220115416323183</v>
      </c>
      <c r="U18" s="46">
        <f t="shared" si="3"/>
        <v>7.6115086010047198E-2</v>
      </c>
      <c r="W18" s="42">
        <v>7.8289999999999998E-2</v>
      </c>
    </row>
    <row r="19" spans="2:25" x14ac:dyDescent="0.25">
      <c r="B19" s="34" t="s">
        <v>197</v>
      </c>
      <c r="C19" s="35" t="s">
        <v>44</v>
      </c>
      <c r="D19" s="35" t="s">
        <v>157</v>
      </c>
      <c r="E19" s="38" t="s">
        <v>43</v>
      </c>
      <c r="F19" s="39">
        <v>43.6</v>
      </c>
      <c r="G19" s="36">
        <v>151.01</v>
      </c>
      <c r="I19" s="34" t="s">
        <v>70</v>
      </c>
      <c r="J19" s="38" t="s">
        <v>65</v>
      </c>
      <c r="K19" s="39">
        <v>112</v>
      </c>
      <c r="L19" s="36">
        <v>68.41</v>
      </c>
      <c r="M19" s="34"/>
      <c r="O19" s="43">
        <f t="shared" si="0"/>
        <v>6.8400000000000002E-2</v>
      </c>
      <c r="P19" s="44">
        <v>250</v>
      </c>
      <c r="Q19" s="45">
        <f t="shared" si="4"/>
        <v>17</v>
      </c>
      <c r="S19" s="36">
        <f t="shared" si="1"/>
        <v>82.6</v>
      </c>
      <c r="T19" s="46">
        <f t="shared" si="2"/>
        <v>0.20581113801452786</v>
      </c>
      <c r="U19" s="46">
        <f t="shared" si="3"/>
        <v>0.11257532613734191</v>
      </c>
      <c r="W19" s="42">
        <v>7.8289999999999998E-2</v>
      </c>
    </row>
    <row r="20" spans="2:25" x14ac:dyDescent="0.25">
      <c r="B20" s="34" t="s">
        <v>197</v>
      </c>
      <c r="C20" s="34" t="s">
        <v>44</v>
      </c>
      <c r="D20" s="34" t="s">
        <v>173</v>
      </c>
      <c r="E20" s="38"/>
      <c r="F20" s="39">
        <v>25</v>
      </c>
      <c r="G20" s="36">
        <v>45</v>
      </c>
      <c r="I20" s="34" t="s">
        <v>64</v>
      </c>
      <c r="J20" s="38" t="s">
        <v>65</v>
      </c>
      <c r="K20" s="39">
        <v>86</v>
      </c>
      <c r="L20" s="36">
        <v>25</v>
      </c>
      <c r="M20" s="37"/>
      <c r="N20" s="40"/>
      <c r="O20" s="43">
        <f t="shared" si="0"/>
        <v>6.0999999999999999E-2</v>
      </c>
      <c r="P20" s="139">
        <v>350</v>
      </c>
      <c r="Q20" s="140">
        <f t="shared" ref="Q20" si="7">ROUND(O20*P20,0)</f>
        <v>21</v>
      </c>
      <c r="R20" s="40"/>
      <c r="S20" s="36">
        <f t="shared" si="1"/>
        <v>20</v>
      </c>
      <c r="T20" s="46"/>
      <c r="U20" s="46"/>
      <c r="V20" s="40"/>
      <c r="W20" s="141"/>
    </row>
    <row r="21" spans="2:25" x14ac:dyDescent="0.25">
      <c r="B21" s="34" t="s">
        <v>197</v>
      </c>
      <c r="C21" s="35" t="s">
        <v>54</v>
      </c>
      <c r="D21" s="34" t="s">
        <v>163</v>
      </c>
      <c r="E21" s="38" t="s">
        <v>43</v>
      </c>
      <c r="F21" s="39">
        <v>110.1</v>
      </c>
      <c r="G21" s="36">
        <v>163.47</v>
      </c>
      <c r="I21" s="34" t="s">
        <v>149</v>
      </c>
      <c r="J21" s="38" t="s">
        <v>89</v>
      </c>
      <c r="K21" s="39">
        <v>290</v>
      </c>
      <c r="L21" s="36">
        <v>118.85</v>
      </c>
      <c r="M21" s="34"/>
      <c r="O21" s="43">
        <f t="shared" si="0"/>
        <v>0.1799</v>
      </c>
      <c r="P21" s="44">
        <v>250</v>
      </c>
      <c r="Q21" s="45">
        <f t="shared" ref="Q21:Q22" si="8">ROUND(O21*P21,0)</f>
        <v>45</v>
      </c>
      <c r="S21" s="36">
        <f t="shared" si="1"/>
        <v>44.620000000000005</v>
      </c>
      <c r="T21" s="46">
        <f t="shared" ref="T21:T26" si="9">+Q21/S21</f>
        <v>1.0085163603765126</v>
      </c>
      <c r="U21" s="46">
        <f t="shared" ref="U21:U26" si="10">+Q21/G21</f>
        <v>0.27527986786566344</v>
      </c>
      <c r="W21" s="42">
        <v>7.8289999999999998E-2</v>
      </c>
    </row>
    <row r="22" spans="2:25" x14ac:dyDescent="0.25">
      <c r="B22" s="34" t="s">
        <v>197</v>
      </c>
      <c r="C22" s="35" t="s">
        <v>54</v>
      </c>
      <c r="D22" s="34" t="s">
        <v>164</v>
      </c>
      <c r="E22" s="38" t="s">
        <v>43</v>
      </c>
      <c r="F22" s="39">
        <v>213</v>
      </c>
      <c r="G22" s="36">
        <v>383.14</v>
      </c>
      <c r="I22" s="34" t="s">
        <v>90</v>
      </c>
      <c r="J22" s="38" t="s">
        <v>89</v>
      </c>
      <c r="K22" s="39">
        <v>458</v>
      </c>
      <c r="L22" s="36">
        <v>118.85</v>
      </c>
      <c r="M22" s="34"/>
      <c r="O22" s="43">
        <f t="shared" si="0"/>
        <v>0.245</v>
      </c>
      <c r="P22" s="44">
        <v>285.71428571428572</v>
      </c>
      <c r="Q22" s="45">
        <f t="shared" si="8"/>
        <v>70</v>
      </c>
      <c r="S22" s="36">
        <f t="shared" si="1"/>
        <v>264.28999999999996</v>
      </c>
      <c r="T22" s="46">
        <f t="shared" si="9"/>
        <v>0.2648605698285974</v>
      </c>
      <c r="U22" s="46">
        <f t="shared" si="10"/>
        <v>0.18270084042386595</v>
      </c>
      <c r="W22" s="42">
        <v>7.8289999999999998E-2</v>
      </c>
    </row>
    <row r="23" spans="2:25" x14ac:dyDescent="0.25">
      <c r="B23" s="34" t="s">
        <v>197</v>
      </c>
      <c r="C23" s="35" t="s">
        <v>55</v>
      </c>
      <c r="D23" s="34" t="s">
        <v>165</v>
      </c>
      <c r="E23" s="38" t="s">
        <v>43</v>
      </c>
      <c r="F23" s="39">
        <v>24.7</v>
      </c>
      <c r="G23" s="36">
        <v>111.34</v>
      </c>
      <c r="I23" s="34" t="s">
        <v>91</v>
      </c>
      <c r="J23" s="38" t="s">
        <v>71</v>
      </c>
      <c r="K23" s="39">
        <v>103</v>
      </c>
      <c r="L23" s="36">
        <v>128.43</v>
      </c>
      <c r="M23" s="34"/>
      <c r="O23" s="43">
        <f t="shared" si="0"/>
        <v>7.8299999999999995E-2</v>
      </c>
      <c r="P23" s="44">
        <v>250</v>
      </c>
      <c r="Q23" s="45">
        <f t="shared" si="4"/>
        <v>20</v>
      </c>
      <c r="S23" s="36">
        <f t="shared" si="1"/>
        <v>-17.090000000000003</v>
      </c>
      <c r="T23" s="46">
        <f t="shared" si="9"/>
        <v>-1.1702750146284375</v>
      </c>
      <c r="U23" s="46">
        <f t="shared" si="10"/>
        <v>0.17962996227770792</v>
      </c>
      <c r="W23" s="42">
        <v>7.8289999999999998E-2</v>
      </c>
    </row>
    <row r="24" spans="2:25" x14ac:dyDescent="0.25">
      <c r="B24" s="34" t="s">
        <v>197</v>
      </c>
      <c r="C24" s="35" t="s">
        <v>55</v>
      </c>
      <c r="D24" s="34" t="s">
        <v>166</v>
      </c>
      <c r="E24" s="38"/>
      <c r="F24" s="39">
        <v>70.599999999999994</v>
      </c>
      <c r="G24" s="36">
        <v>246.19</v>
      </c>
      <c r="I24" s="34" t="s">
        <v>91</v>
      </c>
      <c r="J24" s="38" t="s">
        <v>71</v>
      </c>
      <c r="K24" s="39">
        <v>311.60000000000002</v>
      </c>
      <c r="L24" s="36">
        <v>189.71</v>
      </c>
      <c r="M24" s="34"/>
      <c r="O24" s="43">
        <f t="shared" si="0"/>
        <v>0.24100000000000002</v>
      </c>
      <c r="P24" s="44">
        <v>250</v>
      </c>
      <c r="Q24" s="45">
        <f t="shared" ref="Q24" si="11">ROUND(O24*P24,0)</f>
        <v>60</v>
      </c>
      <c r="S24" s="36">
        <f t="shared" si="1"/>
        <v>56.47999999999999</v>
      </c>
      <c r="T24" s="46">
        <f t="shared" si="9"/>
        <v>1.0623229461756376</v>
      </c>
      <c r="U24" s="46">
        <f t="shared" si="10"/>
        <v>0.24371420447621756</v>
      </c>
      <c r="W24" s="42">
        <v>7.8289999999999998E-2</v>
      </c>
    </row>
    <row r="25" spans="2:25" x14ac:dyDescent="0.25">
      <c r="B25" s="34" t="s">
        <v>197</v>
      </c>
      <c r="C25" s="35" t="s">
        <v>56</v>
      </c>
      <c r="D25" s="34" t="s">
        <v>167</v>
      </c>
      <c r="E25" s="38" t="s">
        <v>43</v>
      </c>
      <c r="F25" s="39">
        <v>20</v>
      </c>
      <c r="G25" s="36">
        <v>175</v>
      </c>
      <c r="I25" s="34" t="s">
        <v>29</v>
      </c>
      <c r="J25" s="38" t="s">
        <v>28</v>
      </c>
      <c r="K25" s="39">
        <v>100</v>
      </c>
      <c r="L25" s="36">
        <v>5</v>
      </c>
      <c r="M25" s="34"/>
      <c r="O25" s="43">
        <f t="shared" si="0"/>
        <v>0.08</v>
      </c>
      <c r="P25" s="44">
        <v>250</v>
      </c>
      <c r="Q25" s="45">
        <f t="shared" si="4"/>
        <v>20</v>
      </c>
      <c r="S25" s="36">
        <f t="shared" si="1"/>
        <v>170</v>
      </c>
      <c r="T25" s="46">
        <f t="shared" si="9"/>
        <v>0.11764705882352941</v>
      </c>
      <c r="U25" s="46">
        <f t="shared" si="10"/>
        <v>0.11428571428571428</v>
      </c>
      <c r="W25" s="42">
        <v>7.8289999999999998E-2</v>
      </c>
    </row>
    <row r="26" spans="2:25" x14ac:dyDescent="0.25">
      <c r="B26" s="34" t="s">
        <v>197</v>
      </c>
      <c r="C26" s="35" t="s">
        <v>57</v>
      </c>
      <c r="D26" s="34" t="s">
        <v>57</v>
      </c>
      <c r="E26" s="38" t="s">
        <v>43</v>
      </c>
      <c r="F26" s="39">
        <v>54.4</v>
      </c>
      <c r="G26" s="36">
        <v>206.63</v>
      </c>
      <c r="I26" s="34" t="s">
        <v>101</v>
      </c>
      <c r="J26" s="38" t="s">
        <v>71</v>
      </c>
      <c r="K26" s="39">
        <v>280</v>
      </c>
      <c r="L26" s="36">
        <v>150</v>
      </c>
      <c r="M26" s="34"/>
      <c r="O26" s="43">
        <f t="shared" si="0"/>
        <v>0.22559999999999999</v>
      </c>
      <c r="P26" s="44">
        <v>250</v>
      </c>
      <c r="Q26" s="45">
        <f t="shared" si="4"/>
        <v>56</v>
      </c>
      <c r="S26" s="36">
        <f t="shared" si="1"/>
        <v>56.629999999999995</v>
      </c>
      <c r="T26" s="46">
        <f t="shared" si="9"/>
        <v>0.98887515451174302</v>
      </c>
      <c r="U26" s="46">
        <f t="shared" si="10"/>
        <v>0.27101582538837538</v>
      </c>
      <c r="W26" s="42">
        <v>7.8289999999999998E-2</v>
      </c>
    </row>
    <row r="27" spans="2:25" x14ac:dyDescent="0.25">
      <c r="B27" s="34" t="s">
        <v>197</v>
      </c>
      <c r="C27" s="35" t="s">
        <v>150</v>
      </c>
      <c r="D27" s="35" t="s">
        <v>168</v>
      </c>
      <c r="E27" s="38"/>
      <c r="F27" s="39">
        <v>620</v>
      </c>
      <c r="G27" s="36"/>
      <c r="I27" s="34" t="s">
        <v>152</v>
      </c>
      <c r="J27" s="38"/>
      <c r="K27" s="39">
        <v>1080</v>
      </c>
      <c r="L27" s="36"/>
      <c r="M27" s="34"/>
      <c r="O27" s="43">
        <f t="shared" si="0"/>
        <v>0.46</v>
      </c>
      <c r="P27" s="44">
        <v>271</v>
      </c>
      <c r="Q27" s="45">
        <f t="shared" si="4"/>
        <v>125</v>
      </c>
      <c r="S27" s="36"/>
      <c r="T27" s="46"/>
      <c r="U27" s="46"/>
      <c r="W27" s="42"/>
    </row>
    <row r="28" spans="2:25" x14ac:dyDescent="0.25">
      <c r="B28" s="34" t="s">
        <v>197</v>
      </c>
      <c r="C28" s="35" t="s">
        <v>131</v>
      </c>
      <c r="D28" s="35" t="s">
        <v>133</v>
      </c>
      <c r="E28" s="38"/>
      <c r="F28" s="39"/>
      <c r="G28" s="36"/>
      <c r="I28" s="34"/>
      <c r="J28" s="38"/>
      <c r="K28" s="39"/>
      <c r="L28" s="36"/>
      <c r="M28" s="34"/>
      <c r="O28" s="43">
        <v>0.24</v>
      </c>
      <c r="P28" s="44">
        <v>250</v>
      </c>
      <c r="Q28" s="45">
        <f t="shared" ref="Q28:Q35" si="12">ROUND(O28*P28,0)</f>
        <v>60</v>
      </c>
      <c r="S28" s="36"/>
      <c r="T28" s="46"/>
      <c r="U28" s="46"/>
      <c r="W28" s="42"/>
    </row>
    <row r="29" spans="2:25" x14ac:dyDescent="0.25">
      <c r="B29" s="34" t="s">
        <v>197</v>
      </c>
      <c r="C29" s="35" t="s">
        <v>131</v>
      </c>
      <c r="D29" s="35" t="s">
        <v>132</v>
      </c>
      <c r="E29" s="38"/>
      <c r="F29" s="39"/>
      <c r="G29" s="36"/>
      <c r="I29" s="34"/>
      <c r="J29" s="38"/>
      <c r="K29" s="39"/>
      <c r="L29" s="36"/>
      <c r="M29" s="34"/>
      <c r="O29" s="43">
        <v>0.04</v>
      </c>
      <c r="P29" s="44">
        <v>250</v>
      </c>
      <c r="Q29" s="45">
        <f t="shared" si="12"/>
        <v>10</v>
      </c>
      <c r="S29" s="36"/>
      <c r="T29" s="46"/>
      <c r="U29" s="46"/>
      <c r="W29" s="42"/>
    </row>
    <row r="30" spans="2:25" x14ac:dyDescent="0.25">
      <c r="B30" s="34" t="s">
        <v>197</v>
      </c>
      <c r="C30" s="35" t="s">
        <v>135</v>
      </c>
      <c r="D30" s="35" t="s">
        <v>136</v>
      </c>
      <c r="E30" s="38"/>
      <c r="F30" s="39"/>
      <c r="G30" s="36"/>
      <c r="I30" s="34"/>
      <c r="J30" s="38"/>
      <c r="K30" s="39"/>
      <c r="L30" s="36"/>
      <c r="M30" s="34"/>
      <c r="O30" s="43">
        <v>1.9</v>
      </c>
      <c r="P30" s="44">
        <v>250</v>
      </c>
      <c r="Q30" s="45">
        <f t="shared" si="12"/>
        <v>475</v>
      </c>
      <c r="S30" s="36"/>
      <c r="T30" s="46"/>
      <c r="U30" s="46"/>
      <c r="W30" s="42"/>
      <c r="X30" s="1">
        <f t="shared" ref="X30:X35" si="13">+Q30/200</f>
        <v>2.375</v>
      </c>
      <c r="Y30" s="1">
        <f>+X30*0.312</f>
        <v>0.74099999999999999</v>
      </c>
    </row>
    <row r="31" spans="2:25" x14ac:dyDescent="0.25">
      <c r="B31" s="34" t="s">
        <v>197</v>
      </c>
      <c r="C31" s="35" t="s">
        <v>135</v>
      </c>
      <c r="D31" s="35" t="s">
        <v>137</v>
      </c>
      <c r="E31" s="38"/>
      <c r="F31" s="39"/>
      <c r="G31" s="36"/>
      <c r="I31" s="34"/>
      <c r="J31" s="38"/>
      <c r="K31" s="39"/>
      <c r="L31" s="36"/>
      <c r="M31" s="34"/>
      <c r="O31" s="43">
        <v>0.8</v>
      </c>
      <c r="P31" s="44">
        <v>250</v>
      </c>
      <c r="Q31" s="45">
        <f t="shared" si="12"/>
        <v>200</v>
      </c>
      <c r="S31" s="36"/>
      <c r="T31" s="46"/>
      <c r="U31" s="46"/>
      <c r="W31" s="42"/>
      <c r="X31" s="1">
        <f t="shared" si="13"/>
        <v>1</v>
      </c>
      <c r="Y31" s="1">
        <f t="shared" ref="Y31:Y35" si="14">+X31*0.312</f>
        <v>0.312</v>
      </c>
    </row>
    <row r="32" spans="2:25" x14ac:dyDescent="0.25">
      <c r="B32" s="34" t="s">
        <v>197</v>
      </c>
      <c r="C32" s="35" t="s">
        <v>135</v>
      </c>
      <c r="D32" s="35" t="s">
        <v>138</v>
      </c>
      <c r="E32" s="38"/>
      <c r="F32" s="39"/>
      <c r="G32" s="36"/>
      <c r="I32" s="34"/>
      <c r="J32" s="38"/>
      <c r="K32" s="39"/>
      <c r="L32" s="36"/>
      <c r="M32" s="34"/>
      <c r="O32" s="43">
        <v>0.52</v>
      </c>
      <c r="P32" s="44">
        <v>250</v>
      </c>
      <c r="Q32" s="45">
        <f t="shared" si="12"/>
        <v>130</v>
      </c>
      <c r="S32" s="36"/>
      <c r="T32" s="46"/>
      <c r="U32" s="46"/>
      <c r="W32" s="42"/>
      <c r="X32" s="1">
        <f t="shared" si="13"/>
        <v>0.65</v>
      </c>
      <c r="Y32" s="1">
        <f t="shared" si="14"/>
        <v>0.20280000000000001</v>
      </c>
    </row>
    <row r="33" spans="2:25" x14ac:dyDescent="0.25">
      <c r="B33" s="34" t="s">
        <v>197</v>
      </c>
      <c r="C33" s="35" t="s">
        <v>135</v>
      </c>
      <c r="D33" s="35" t="s">
        <v>139</v>
      </c>
      <c r="E33" s="38"/>
      <c r="F33" s="39"/>
      <c r="G33" s="36"/>
      <c r="I33" s="34"/>
      <c r="J33" s="38"/>
      <c r="K33" s="39"/>
      <c r="L33" s="36"/>
      <c r="M33" s="34"/>
      <c r="O33" s="43">
        <v>0.32</v>
      </c>
      <c r="P33" s="44">
        <v>250</v>
      </c>
      <c r="Q33" s="45">
        <f t="shared" si="12"/>
        <v>80</v>
      </c>
      <c r="S33" s="36"/>
      <c r="T33" s="46"/>
      <c r="U33" s="46"/>
      <c r="W33" s="42"/>
      <c r="X33" s="1">
        <f t="shared" si="13"/>
        <v>0.4</v>
      </c>
      <c r="Y33" s="1">
        <f t="shared" si="14"/>
        <v>0.12480000000000001</v>
      </c>
    </row>
    <row r="34" spans="2:25" x14ac:dyDescent="0.25">
      <c r="B34" s="34" t="s">
        <v>197</v>
      </c>
      <c r="C34" s="35" t="s">
        <v>135</v>
      </c>
      <c r="D34" s="35" t="s">
        <v>140</v>
      </c>
      <c r="E34" s="38"/>
      <c r="F34" s="39"/>
      <c r="G34" s="36"/>
      <c r="I34" s="34"/>
      <c r="J34" s="38"/>
      <c r="K34" s="39"/>
      <c r="L34" s="36"/>
      <c r="M34" s="34"/>
      <c r="O34" s="43">
        <v>0.22</v>
      </c>
      <c r="P34" s="44">
        <v>250</v>
      </c>
      <c r="Q34" s="45">
        <f t="shared" si="12"/>
        <v>55</v>
      </c>
      <c r="S34" s="36"/>
      <c r="T34" s="46"/>
      <c r="U34" s="46"/>
      <c r="W34" s="42"/>
      <c r="X34" s="1">
        <f t="shared" si="13"/>
        <v>0.27500000000000002</v>
      </c>
      <c r="Y34" s="1">
        <f t="shared" si="14"/>
        <v>8.5800000000000001E-2</v>
      </c>
    </row>
    <row r="35" spans="2:25" x14ac:dyDescent="0.25">
      <c r="B35" s="34" t="s">
        <v>197</v>
      </c>
      <c r="C35" s="35" t="s">
        <v>135</v>
      </c>
      <c r="D35" s="35" t="s">
        <v>141</v>
      </c>
      <c r="E35" s="38"/>
      <c r="F35" s="39"/>
      <c r="G35" s="36"/>
      <c r="I35" s="34"/>
      <c r="J35" s="38"/>
      <c r="K35" s="39"/>
      <c r="L35" s="36"/>
      <c r="M35" s="34"/>
      <c r="O35" s="43">
        <v>0.17599999999999999</v>
      </c>
      <c r="P35" s="44">
        <v>250</v>
      </c>
      <c r="Q35" s="45">
        <f t="shared" si="12"/>
        <v>44</v>
      </c>
      <c r="S35" s="36"/>
      <c r="T35" s="46"/>
      <c r="U35" s="46"/>
      <c r="W35" s="42"/>
      <c r="X35" s="1">
        <f t="shared" si="13"/>
        <v>0.22</v>
      </c>
      <c r="Y35" s="1">
        <f t="shared" si="14"/>
        <v>6.8640000000000007E-2</v>
      </c>
    </row>
    <row r="36" spans="2:25" x14ac:dyDescent="0.25">
      <c r="B36" s="34" t="s">
        <v>197</v>
      </c>
      <c r="C36" s="35" t="s">
        <v>25</v>
      </c>
      <c r="D36" s="33" t="s">
        <v>24</v>
      </c>
      <c r="E36" s="38" t="s">
        <v>43</v>
      </c>
      <c r="F36" s="39">
        <v>3</v>
      </c>
      <c r="G36" s="36">
        <v>25</v>
      </c>
      <c r="I36" s="33" t="s">
        <v>24</v>
      </c>
      <c r="J36" s="38" t="s">
        <v>28</v>
      </c>
      <c r="K36" s="39">
        <v>30</v>
      </c>
      <c r="L36" s="36">
        <v>0</v>
      </c>
      <c r="M36" s="34"/>
      <c r="O36" s="43">
        <f>(K36-F36)/1000</f>
        <v>2.7E-2</v>
      </c>
      <c r="P36" s="44">
        <v>250</v>
      </c>
      <c r="Q36" s="45">
        <f t="shared" si="4"/>
        <v>7</v>
      </c>
      <c r="S36" s="36">
        <f>+G36-L36</f>
        <v>25</v>
      </c>
      <c r="T36" s="46">
        <f>+Q36/S36</f>
        <v>0.28000000000000003</v>
      </c>
      <c r="U36" s="46">
        <f>+Q36/G36</f>
        <v>0.28000000000000003</v>
      </c>
      <c r="W36" s="42">
        <v>7.8289999999999998E-2</v>
      </c>
    </row>
    <row r="37" spans="2:25" x14ac:dyDescent="0.25">
      <c r="B37" s="34" t="s">
        <v>197</v>
      </c>
      <c r="C37" s="35" t="s">
        <v>59</v>
      </c>
      <c r="D37" s="33" t="s">
        <v>119</v>
      </c>
      <c r="E37" s="38" t="s">
        <v>58</v>
      </c>
      <c r="F37" s="39">
        <v>15</v>
      </c>
      <c r="G37" s="36">
        <v>10</v>
      </c>
      <c r="I37" s="33" t="s">
        <v>119</v>
      </c>
      <c r="J37" s="38" t="s">
        <v>58</v>
      </c>
      <c r="K37" s="39">
        <v>75</v>
      </c>
      <c r="L37" s="36">
        <v>0</v>
      </c>
      <c r="M37" s="34"/>
      <c r="O37" s="43">
        <f>(K37-F37)/1000</f>
        <v>0.06</v>
      </c>
      <c r="P37" s="44">
        <v>250</v>
      </c>
      <c r="Q37" s="45">
        <f t="shared" si="4"/>
        <v>15</v>
      </c>
      <c r="S37" s="36">
        <f>+G37-L37</f>
        <v>10</v>
      </c>
      <c r="T37" s="46">
        <f>+Q37/S37</f>
        <v>1.5</v>
      </c>
      <c r="U37" s="46">
        <f>+Q37/G37</f>
        <v>1.5</v>
      </c>
      <c r="W37" s="42">
        <v>7.8289999999999998E-2</v>
      </c>
    </row>
    <row r="38" spans="2:25" x14ac:dyDescent="0.25">
      <c r="B38" s="34" t="s">
        <v>198</v>
      </c>
      <c r="C38" s="34" t="s">
        <v>40</v>
      </c>
      <c r="D38" s="34" t="s">
        <v>199</v>
      </c>
      <c r="E38" s="38" t="s">
        <v>46</v>
      </c>
      <c r="F38" s="39">
        <v>36.5</v>
      </c>
      <c r="G38" s="36">
        <v>29.99</v>
      </c>
      <c r="I38" s="34" t="s">
        <v>64</v>
      </c>
      <c r="J38" s="38" t="s">
        <v>65</v>
      </c>
      <c r="K38" s="39">
        <v>86</v>
      </c>
      <c r="L38" s="36">
        <v>8.3699999999999992</v>
      </c>
      <c r="M38" s="37"/>
      <c r="O38" s="43">
        <f>(K38-F38)/1000</f>
        <v>4.9500000000000002E-2</v>
      </c>
      <c r="P38" s="44">
        <v>250</v>
      </c>
      <c r="Q38" s="45">
        <f>ROUND(O38*P38,0)</f>
        <v>12</v>
      </c>
      <c r="S38" s="36">
        <f>+G38-L38</f>
        <v>21.619999999999997</v>
      </c>
      <c r="T38" s="46">
        <f>+Q38/S38</f>
        <v>0.55504162812210922</v>
      </c>
      <c r="U38" s="46">
        <f>+Q38/G38</f>
        <v>0.40013337779259756</v>
      </c>
      <c r="W38" s="42">
        <v>7.8289999999999998E-2</v>
      </c>
    </row>
    <row r="39" spans="2:25" x14ac:dyDescent="0.25">
      <c r="B39" s="34" t="s">
        <v>198</v>
      </c>
      <c r="C39" s="34" t="s">
        <v>40</v>
      </c>
      <c r="D39" s="35" t="s">
        <v>201</v>
      </c>
      <c r="E39" s="38"/>
      <c r="F39" s="39"/>
      <c r="G39" s="36"/>
      <c r="I39" s="34"/>
      <c r="J39" s="38"/>
      <c r="K39" s="39"/>
      <c r="L39" s="36"/>
      <c r="M39" s="37"/>
      <c r="O39" s="43">
        <v>2.8000000000000001E-2</v>
      </c>
      <c r="P39" s="44">
        <v>250</v>
      </c>
      <c r="Q39" s="45">
        <f>ROUND(O39*P39,0)</f>
        <v>7</v>
      </c>
      <c r="S39" s="36"/>
      <c r="T39" s="46"/>
      <c r="U39" s="46"/>
      <c r="W39" s="42"/>
    </row>
    <row r="40" spans="2:25" x14ac:dyDescent="0.25">
      <c r="B40" s="34" t="s">
        <v>198</v>
      </c>
      <c r="C40" s="34" t="s">
        <v>40</v>
      </c>
      <c r="D40" s="34" t="s">
        <v>200</v>
      </c>
      <c r="E40" s="38" t="s">
        <v>46</v>
      </c>
      <c r="F40" s="39">
        <v>15.89</v>
      </c>
      <c r="G40" s="36">
        <v>10.73</v>
      </c>
      <c r="I40" s="34" t="s">
        <v>88</v>
      </c>
      <c r="J40" s="38" t="s">
        <v>65</v>
      </c>
      <c r="K40" s="39">
        <v>28</v>
      </c>
      <c r="L40" s="36">
        <v>5.48</v>
      </c>
      <c r="M40" s="37"/>
      <c r="O40" s="43">
        <f t="shared" ref="O40:O47" si="15">(K40-F40)/1000</f>
        <v>1.2109999999999999E-2</v>
      </c>
      <c r="P40" s="44">
        <v>250</v>
      </c>
      <c r="Q40" s="45">
        <f>ROUND(O40*P40,1)</f>
        <v>3</v>
      </c>
      <c r="S40" s="36">
        <f t="shared" ref="S40:S47" si="16">+G40-L40</f>
        <v>5.25</v>
      </c>
      <c r="T40" s="46">
        <f t="shared" ref="T40:T47" si="17">+Q40/S40</f>
        <v>0.5714285714285714</v>
      </c>
      <c r="U40" s="46">
        <f>+Q40/G40</f>
        <v>0.27958993476234856</v>
      </c>
      <c r="W40" s="42">
        <v>7.8289999999999998E-2</v>
      </c>
    </row>
    <row r="41" spans="2:25" x14ac:dyDescent="0.25">
      <c r="B41" s="34" t="s">
        <v>198</v>
      </c>
      <c r="C41" s="34" t="s">
        <v>51</v>
      </c>
      <c r="D41" s="34" t="s">
        <v>202</v>
      </c>
      <c r="E41" s="38" t="s">
        <v>43</v>
      </c>
      <c r="F41" s="39">
        <v>37</v>
      </c>
      <c r="G41" s="36">
        <v>90.43</v>
      </c>
      <c r="I41" s="34" t="s">
        <v>98</v>
      </c>
      <c r="J41" s="38" t="s">
        <v>65</v>
      </c>
      <c r="K41" s="39">
        <v>56.3</v>
      </c>
      <c r="L41" s="36">
        <v>60.13</v>
      </c>
      <c r="M41" s="37"/>
      <c r="O41" s="43">
        <f t="shared" si="15"/>
        <v>1.9299999999999998E-2</v>
      </c>
      <c r="P41" s="44">
        <v>500</v>
      </c>
      <c r="Q41" s="45">
        <f t="shared" ref="Q41:Q47" si="18">ROUND(O41*P41,0)</f>
        <v>10</v>
      </c>
      <c r="S41" s="36">
        <f t="shared" si="16"/>
        <v>30.300000000000004</v>
      </c>
      <c r="T41" s="46">
        <f t="shared" si="17"/>
        <v>0.33003300330032997</v>
      </c>
      <c r="U41" s="46">
        <f>+Q41/G41</f>
        <v>0.11058277120424637</v>
      </c>
      <c r="W41" s="42">
        <v>7.8289999999999998E-2</v>
      </c>
    </row>
    <row r="42" spans="2:25" ht="14.25" customHeight="1" x14ac:dyDescent="0.25">
      <c r="B42" s="34" t="s">
        <v>198</v>
      </c>
      <c r="C42" s="34" t="s">
        <v>44</v>
      </c>
      <c r="D42" s="35" t="s">
        <v>203</v>
      </c>
      <c r="E42" s="38" t="s">
        <v>43</v>
      </c>
      <c r="F42" s="39">
        <v>40</v>
      </c>
      <c r="G42" s="36">
        <v>136.41</v>
      </c>
      <c r="I42" s="34" t="s">
        <v>99</v>
      </c>
      <c r="J42" s="38" t="s">
        <v>65</v>
      </c>
      <c r="K42" s="39">
        <v>55</v>
      </c>
      <c r="L42" s="36">
        <v>113.89</v>
      </c>
      <c r="M42" s="34"/>
      <c r="O42" s="43">
        <f t="shared" si="15"/>
        <v>1.4999999999999999E-2</v>
      </c>
      <c r="P42" s="44">
        <v>1000</v>
      </c>
      <c r="Q42" s="45">
        <f t="shared" si="18"/>
        <v>15</v>
      </c>
      <c r="S42" s="36">
        <f t="shared" si="16"/>
        <v>22.519999999999996</v>
      </c>
      <c r="T42" s="46">
        <f t="shared" si="17"/>
        <v>0.66607460035523991</v>
      </c>
      <c r="U42" s="46">
        <f>+Q42/G42</f>
        <v>0.10996261271167804</v>
      </c>
      <c r="W42" s="42">
        <v>7.8289999999999998E-2</v>
      </c>
    </row>
    <row r="43" spans="2:25" x14ac:dyDescent="0.25">
      <c r="B43" s="34" t="s">
        <v>198</v>
      </c>
      <c r="C43" s="34" t="s">
        <v>44</v>
      </c>
      <c r="D43" s="35" t="s">
        <v>204</v>
      </c>
      <c r="E43" s="38" t="s">
        <v>43</v>
      </c>
      <c r="F43" s="39">
        <v>32.909999999999997</v>
      </c>
      <c r="G43" s="36">
        <v>131.38</v>
      </c>
      <c r="I43" s="34" t="s">
        <v>69</v>
      </c>
      <c r="J43" s="38" t="s">
        <v>65</v>
      </c>
      <c r="K43" s="39">
        <v>55</v>
      </c>
      <c r="L43" s="36">
        <v>107.12</v>
      </c>
      <c r="M43" s="34"/>
      <c r="O43" s="43">
        <f t="shared" si="15"/>
        <v>2.2090000000000002E-2</v>
      </c>
      <c r="P43" s="44">
        <v>700</v>
      </c>
      <c r="Q43" s="45">
        <f t="shared" si="18"/>
        <v>15</v>
      </c>
      <c r="S43" s="36">
        <f t="shared" si="16"/>
        <v>24.259999999999991</v>
      </c>
      <c r="T43" s="46">
        <f t="shared" si="17"/>
        <v>0.61830173124484766</v>
      </c>
      <c r="U43" s="46">
        <f>+Q43/G43</f>
        <v>0.11417262901507079</v>
      </c>
      <c r="W43" s="42">
        <v>7.8289999999999998E-2</v>
      </c>
    </row>
    <row r="44" spans="2:25" x14ac:dyDescent="0.25">
      <c r="B44" s="34" t="s">
        <v>198</v>
      </c>
      <c r="C44" s="35" t="s">
        <v>44</v>
      </c>
      <c r="D44" s="35" t="s">
        <v>206</v>
      </c>
      <c r="E44" s="38" t="s">
        <v>43</v>
      </c>
      <c r="F44" s="39">
        <v>43.6</v>
      </c>
      <c r="G44" s="36">
        <v>151.01</v>
      </c>
      <c r="I44" s="34" t="s">
        <v>70</v>
      </c>
      <c r="J44" s="38" t="s">
        <v>65</v>
      </c>
      <c r="K44" s="39">
        <v>112</v>
      </c>
      <c r="L44" s="36">
        <v>68.41</v>
      </c>
      <c r="M44" s="34"/>
      <c r="O44" s="43">
        <f t="shared" si="15"/>
        <v>6.8400000000000002E-2</v>
      </c>
      <c r="P44" s="44">
        <v>290</v>
      </c>
      <c r="Q44" s="45">
        <f t="shared" si="18"/>
        <v>20</v>
      </c>
      <c r="S44" s="36">
        <f t="shared" si="16"/>
        <v>82.6</v>
      </c>
      <c r="T44" s="46">
        <f t="shared" si="17"/>
        <v>0.24213075060532691</v>
      </c>
      <c r="U44" s="46">
        <f>+Q44/G44</f>
        <v>0.13244156016157871</v>
      </c>
      <c r="W44" s="42">
        <v>7.8289999999999998E-2</v>
      </c>
    </row>
    <row r="45" spans="2:25" x14ac:dyDescent="0.25">
      <c r="B45" s="34" t="s">
        <v>198</v>
      </c>
      <c r="C45" s="34" t="s">
        <v>44</v>
      </c>
      <c r="D45" s="34" t="s">
        <v>205</v>
      </c>
      <c r="E45" s="38"/>
      <c r="F45" s="39">
        <v>25</v>
      </c>
      <c r="G45" s="36">
        <v>45</v>
      </c>
      <c r="I45" s="34" t="s">
        <v>64</v>
      </c>
      <c r="J45" s="38" t="s">
        <v>65</v>
      </c>
      <c r="K45" s="39">
        <v>86</v>
      </c>
      <c r="L45" s="36">
        <v>25</v>
      </c>
      <c r="M45" s="37"/>
      <c r="O45" s="43">
        <f t="shared" si="15"/>
        <v>6.0999999999999999E-2</v>
      </c>
      <c r="P45" s="44">
        <v>500</v>
      </c>
      <c r="Q45" s="45">
        <f t="shared" si="18"/>
        <v>31</v>
      </c>
      <c r="S45" s="36">
        <f t="shared" si="16"/>
        <v>20</v>
      </c>
      <c r="T45" s="46"/>
      <c r="U45" s="46"/>
      <c r="W45" s="42"/>
    </row>
    <row r="46" spans="2:25" x14ac:dyDescent="0.25">
      <c r="B46" s="34" t="s">
        <v>198</v>
      </c>
      <c r="C46" s="35" t="s">
        <v>54</v>
      </c>
      <c r="D46" s="34" t="s">
        <v>207</v>
      </c>
      <c r="E46" s="38" t="s">
        <v>43</v>
      </c>
      <c r="F46" s="39">
        <v>110.1</v>
      </c>
      <c r="G46" s="36">
        <v>163.47</v>
      </c>
      <c r="I46" s="34" t="s">
        <v>149</v>
      </c>
      <c r="J46" s="38" t="s">
        <v>89</v>
      </c>
      <c r="K46" s="39">
        <v>290</v>
      </c>
      <c r="L46" s="36">
        <v>118.85</v>
      </c>
      <c r="M46" s="34"/>
      <c r="O46" s="43">
        <f t="shared" si="15"/>
        <v>0.1799</v>
      </c>
      <c r="P46" s="44">
        <v>300</v>
      </c>
      <c r="Q46" s="45">
        <f t="shared" si="18"/>
        <v>54</v>
      </c>
      <c r="S46" s="36">
        <f t="shared" si="16"/>
        <v>44.620000000000005</v>
      </c>
      <c r="T46" s="46">
        <f t="shared" ref="T46" si="19">+Q46/S46</f>
        <v>1.2102196324518153</v>
      </c>
      <c r="U46" s="46">
        <f>+Q46/G46</f>
        <v>0.33033584143879613</v>
      </c>
      <c r="W46" s="42">
        <v>7.8289999999999998E-2</v>
      </c>
    </row>
    <row r="47" spans="2:25" x14ac:dyDescent="0.25">
      <c r="B47" s="34" t="s">
        <v>198</v>
      </c>
      <c r="C47" s="35" t="s">
        <v>54</v>
      </c>
      <c r="D47" s="34" t="s">
        <v>208</v>
      </c>
      <c r="E47" s="38" t="s">
        <v>43</v>
      </c>
      <c r="F47" s="39">
        <v>213</v>
      </c>
      <c r="G47" s="36">
        <v>383.14</v>
      </c>
      <c r="I47" s="34" t="s">
        <v>90</v>
      </c>
      <c r="J47" s="38" t="s">
        <v>89</v>
      </c>
      <c r="K47" s="39">
        <v>458</v>
      </c>
      <c r="L47" s="36">
        <v>118.85</v>
      </c>
      <c r="M47" s="34"/>
      <c r="O47" s="43">
        <f t="shared" si="15"/>
        <v>0.245</v>
      </c>
      <c r="P47" s="44">
        <v>368</v>
      </c>
      <c r="Q47" s="45">
        <f t="shared" si="18"/>
        <v>90</v>
      </c>
      <c r="S47" s="36">
        <f t="shared" si="16"/>
        <v>264.28999999999996</v>
      </c>
      <c r="T47" s="46">
        <f t="shared" si="17"/>
        <v>0.34053501835105382</v>
      </c>
      <c r="U47" s="46">
        <f>+Q47/G47</f>
        <v>0.23490108054497053</v>
      </c>
      <c r="W47" s="42">
        <v>7.8289999999999998E-2</v>
      </c>
    </row>
  </sheetData>
  <mergeCells count="5">
    <mergeCell ref="B1:G1"/>
    <mergeCell ref="W1:AE1"/>
    <mergeCell ref="I1:M1"/>
    <mergeCell ref="O1:Q1"/>
    <mergeCell ref="S1:U1"/>
  </mergeCells>
  <printOptions horizontalCentered="1"/>
  <pageMargins left="0.7" right="0.7" top="0.75" bottom="0.75" header="0.3" footer="0.3"/>
  <pageSetup scale="81" orientation="landscape" r:id="rId1"/>
  <headerFooter>
    <oddFooter>&amp;LPre-Authorized Comm. Lighting&amp;RPage &amp;P of &amp;N</oddFooter>
  </headerFooter>
  <colBreaks count="2" manualBreakCount="2">
    <brk id="8" min="1" max="24" man="1"/>
    <brk id="14" min="1" max="2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topLeftCell="A4" workbookViewId="0">
      <selection activeCell="A12" sqref="A12"/>
    </sheetView>
  </sheetViews>
  <sheetFormatPr defaultRowHeight="15" x14ac:dyDescent="0.25"/>
  <cols>
    <col min="1" max="1" width="106.85546875" customWidth="1"/>
  </cols>
  <sheetData>
    <row r="1" spans="1:9" x14ac:dyDescent="0.25">
      <c r="A1" t="s">
        <v>113</v>
      </c>
      <c r="I1" t="s">
        <v>188</v>
      </c>
    </row>
    <row r="3" spans="1:9" x14ac:dyDescent="0.25">
      <c r="A3">
        <v>2017.2</v>
      </c>
    </row>
    <row r="4" spans="1:9" x14ac:dyDescent="0.25">
      <c r="A4" t="s">
        <v>117</v>
      </c>
    </row>
    <row r="5" spans="1:9" x14ac:dyDescent="0.25">
      <c r="A5" s="50" t="s">
        <v>114</v>
      </c>
    </row>
    <row r="6" spans="1:9" x14ac:dyDescent="0.25">
      <c r="A6" s="50" t="s">
        <v>115</v>
      </c>
    </row>
    <row r="7" spans="1:9" x14ac:dyDescent="0.25">
      <c r="A7" s="50" t="s">
        <v>116</v>
      </c>
    </row>
    <row r="8" spans="1:9" x14ac:dyDescent="0.25">
      <c r="A8" s="50" t="s">
        <v>118</v>
      </c>
    </row>
    <row r="9" spans="1:9" x14ac:dyDescent="0.25">
      <c r="A9" s="50" t="s">
        <v>126</v>
      </c>
    </row>
    <row r="10" spans="1:9" x14ac:dyDescent="0.25">
      <c r="A10" s="51" t="s">
        <v>123</v>
      </c>
    </row>
    <row r="11" spans="1:9" x14ac:dyDescent="0.25">
      <c r="A11" s="50" t="s">
        <v>124</v>
      </c>
    </row>
    <row r="12" spans="1:9" x14ac:dyDescent="0.25">
      <c r="A12" s="50" t="s">
        <v>129</v>
      </c>
    </row>
    <row r="15" spans="1:9" x14ac:dyDescent="0.25">
      <c r="A15">
        <v>2018.1</v>
      </c>
    </row>
    <row r="16" spans="1:9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2" spans="1:1" x14ac:dyDescent="0.25">
      <c r="A22">
        <v>2019.1</v>
      </c>
    </row>
    <row r="23" spans="1:1" x14ac:dyDescent="0.25">
      <c r="A23" t="s">
        <v>180</v>
      </c>
    </row>
    <row r="24" spans="1:1" x14ac:dyDescent="0.25">
      <c r="A24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46f7a5-1bcd-4e31-817c-e73f36fc7663">
      <Value>44</Value>
    </TaxCatchAll>
    <c476401970d54389a0bf91c36e066079 xmlns="0a46f7a5-1bcd-4e31-817c-e73f36fc76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Energy-Efficient Products</TermName>
          <TermId xmlns="http://schemas.microsoft.com/office/infopath/2007/PartnerControls">423768b3-304a-45bd-801b-0555adb77ca0</TermId>
        </TermInfo>
      </Terms>
    </c476401970d54389a0bf91c36e066079>
    <DR_x0020_Types xmlns="fbba943f-f27b-4ddf-9f1d-a6b9a4e3e575" xsi:nil="true"/>
    <documentDate xmlns="0a46f7a5-1bcd-4e31-817c-e73f36fc7663">2021-10-29T06:00:00+00:00</documentDate>
    <SortBy xmlns="fbba943f-f27b-4ddf-9f1d-a6b9a4e3e575" xsi:nil="true"/>
    <ProductDescription xmlns="0a46f7a5-1bcd-4e31-817c-e73f36fc76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C Document" ma:contentTypeID="0x010100F21215F7FD3C0E4C99E1CE8A2148072F00778E1B355E5F9C479A3560C58B0ECC09" ma:contentTypeVersion="26" ma:contentTypeDescription="" ma:contentTypeScope="" ma:versionID="1c345f2112e9c6ccbc6c480ee073b9d4">
  <xsd:schema xmlns:xsd="http://www.w3.org/2001/XMLSchema" xmlns:xs="http://www.w3.org/2001/XMLSchema" xmlns:p="http://schemas.microsoft.com/office/2006/metadata/properties" xmlns:ns2="0a46f7a5-1bcd-4e31-817c-e73f36fc7663" xmlns:ns3="fbba943f-f27b-4ddf-9f1d-a6b9a4e3e575" targetNamespace="http://schemas.microsoft.com/office/2006/metadata/properties" ma:root="true" ma:fieldsID="f36255c5482d7649231c8c58f4ae57c7" ns2:_="" ns3:_="">
    <xsd:import namespace="0a46f7a5-1bcd-4e31-817c-e73f36fc7663"/>
    <xsd:import namespace="fbba943f-f27b-4ddf-9f1d-a6b9a4e3e57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476401970d54389a0bf91c36e066079" minOccurs="0"/>
                <xsd:element ref="ns2:TaxCatchAll" minOccurs="0"/>
                <xsd:element ref="ns2:TaxCatchAllLabel" minOccurs="0"/>
                <xsd:element ref="ns2:ProductDescription" minOccurs="0"/>
                <xsd:element ref="ns3:DR_x0020_Types" minOccurs="0"/>
                <xsd:element ref="ns3:Sort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6f7a5-1bcd-4e31-817c-e73f36fc7663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description="Select the document date for this content." ma:format="DateOnly" ma:indexed="true" ma:internalName="documentDate">
      <xsd:simpleType>
        <xsd:restriction base="dms:DateTime"/>
      </xsd:simpleType>
    </xsd:element>
    <xsd:element name="c476401970d54389a0bf91c36e066079" ma:index="11" nillable="true" ma:taxonomy="true" ma:internalName="c476401970d54389a0bf91c36e066079" ma:taxonomyFieldName="MICtopic" ma:displayName="MIC Topic" ma:indexed="true" ma:default="" ma:fieldId="{c4764019-70d5-4389-a0bf-91c36e066079}" ma:sspId="e22945de-84d9-4a93-8821-2542e139bd70" ma:termSetId="e8bbe524-5522-4395-8285-1161ffe28b81" ma:anchorId="812308c3-72f4-4dd9-a315-71aa0e095fee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4bedb9b-6569-4876-974d-f7d334f2d93a}" ma:internalName="TaxCatchAll" ma:showField="CatchAllData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4bedb9b-6569-4876-974d-f7d334f2d93a}" ma:internalName="TaxCatchAllLabel" ma:readOnly="true" ma:showField="CatchAllDataLabel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Description" ma:index="15" nillable="true" ma:displayName="Product Description" ma:internalName="Product_x0020_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a943f-f27b-4ddf-9f1d-a6b9a4e3e575" elementFormDefault="qualified">
    <xsd:import namespace="http://schemas.microsoft.com/office/2006/documentManagement/types"/>
    <xsd:import namespace="http://schemas.microsoft.com/office/infopath/2007/PartnerControls"/>
    <xsd:element name="DR_x0020_Types" ma:index="16" nillable="true" ma:displayName="Demand Response" ma:format="Dropdown" ma:internalName="DR_x0020_Types">
      <xsd:simpleType>
        <xsd:restriction base="dms:Choice">
          <xsd:enumeration value="All Contracts"/>
          <xsd:enumeration value="DR Program"/>
          <xsd:enumeration value="DS &amp; ES Advisory Council"/>
          <xsd:enumeration value="Home &amp; Small Business"/>
          <xsd:enumeration value="Irrigation"/>
          <xsd:enumeration value="Large Commercial &amp; Industrial"/>
          <xsd:enumeration value="Spec Sheets"/>
        </xsd:restriction>
      </xsd:simpleType>
    </xsd:element>
    <xsd:element name="SortBy" ma:index="17" nillable="true" ma:displayName="SortBy" ma:decimals="0" ma:internalName="SortBy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A0081-6064-4812-81C5-42AD8B7D6AEA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fbba943f-f27b-4ddf-9f1d-a6b9a4e3e57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a46f7a5-1bcd-4e31-817c-e73f36fc766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DD346D-1804-49E7-BED0-19C55FF00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58BD07-101A-4E61-B1A0-78B8A00DB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6f7a5-1bcd-4e31-817c-e73f36fc7663"/>
    <ds:schemaRef ds:uri="fbba943f-f27b-4ddf-9f1d-a6b9a4e3e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Application Information</vt:lpstr>
      <vt:lpstr>Submission Form</vt:lpstr>
      <vt:lpstr>Payback Calculator</vt:lpstr>
      <vt:lpstr>Measure Assumptions</vt:lpstr>
      <vt:lpstr>Sheet1</vt:lpstr>
      <vt:lpstr>'Application Information'!Print_Area</vt:lpstr>
      <vt:lpstr>'Measure Assumptions'!Print_Area</vt:lpstr>
      <vt:lpstr>'Payback Calculator'!Print_Area</vt:lpstr>
      <vt:lpstr>'Submission Form'!Print_Area</vt:lpstr>
      <vt:lpstr>'Application Information'!Print_Titles</vt:lpstr>
      <vt:lpstr>'Measure Assumptions'!Print_Titles</vt:lpstr>
    </vt:vector>
  </TitlesOfParts>
  <Company>Tri-State G&amp;T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Commercial Lighting Retrofit</dc:title>
  <dc:creator>keieme</dc:creator>
  <cp:lastModifiedBy>Jon Kenney</cp:lastModifiedBy>
  <cp:lastPrinted>2018-12-18T18:12:51Z</cp:lastPrinted>
  <dcterms:created xsi:type="dcterms:W3CDTF">2009-12-28T22:15:24Z</dcterms:created>
  <dcterms:modified xsi:type="dcterms:W3CDTF">2024-01-18T22:36:32Z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0x010100F21215F7FD3C0E4C99E1CE8A2148072F00778E1B355E5F9C479A3560C58B0ECC09</vt:lpwstr>
  </property>
  <property fmtid="{D5CDD505-2E9C-101B-9397-08002B2CF9AE}" pid="3" name="MICtopic">
    <vt:lpwstr>44;#Energy-Efficient Products|423768b3-304a-45bd-801b-0555adb77ca0</vt:lpwstr>
  </property>
  <property fmtid="{D5CDD505-2E9C-101B-9397-08002B2CF9AE}" pid="4" name="tsgtDivision">
    <vt:lpwstr/>
  </property>
</Properties>
</file>